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2">'5'!$12:$12</definedName>
  </definedNames>
  <calcPr fullCalcOnLoad="1"/>
</workbook>
</file>

<file path=xl/sharedStrings.xml><?xml version="1.0" encoding="utf-8"?>
<sst xmlns="http://schemas.openxmlformats.org/spreadsheetml/2006/main" count="568" uniqueCount="194">
  <si>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</si>
  <si>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</si>
  <si>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</si>
  <si>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</si>
  <si>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</si>
  <si>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</si>
  <si>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</si>
  <si>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</si>
  <si>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</si>
  <si>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</si>
  <si>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</si>
  <si>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</si>
  <si>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</si>
  <si>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</si>
  <si>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</si>
  <si>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</si>
  <si>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</si>
  <si>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</si>
  <si>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010</t>
  </si>
  <si>
    <t>01010</t>
  </si>
  <si>
    <t>Budowa przydomowych oczyszczalni ścieków w Gminie Pińczów</t>
  </si>
  <si>
    <t xml:space="preserve">A.      
B.
C.
D. </t>
  </si>
  <si>
    <t>Urząd Miejski w Pińczowie</t>
  </si>
  <si>
    <t>wydatki bieżące</t>
  </si>
  <si>
    <t>X</t>
  </si>
  <si>
    <t>wydatki majątkowe</t>
  </si>
  <si>
    <t>2.</t>
  </si>
  <si>
    <t xml:space="preserve">Budowa wodociągu w Zawarży -gmina Pińczów </t>
  </si>
  <si>
    <t>3.</t>
  </si>
  <si>
    <t>Rozbudowa drogi wojewódzkiej Nr 766 relacji Morawica-Węchadłów na odcinku Brzeście - ulica Republiki Pińczowskiej w miejscowości Pińczów</t>
  </si>
  <si>
    <t>4.</t>
  </si>
  <si>
    <t>Przebudowa ulicy Republiki Pińczowskiej w Pińczowie</t>
  </si>
  <si>
    <t>5.</t>
  </si>
  <si>
    <t>Budowa ulicy Przemysłowej - projekt i wykonastwo</t>
  </si>
  <si>
    <t>6.</t>
  </si>
  <si>
    <t>Budowa drogi dojazdowej do osiedla domków jednorodzinnych na ulicy Łąkowej w Pińczowie</t>
  </si>
  <si>
    <t>7.</t>
  </si>
  <si>
    <t>Przebudowa drogi Grochowiska</t>
  </si>
  <si>
    <t>8.</t>
  </si>
  <si>
    <t>Remont cząstkowy nawierzchni dróg gminnych</t>
  </si>
  <si>
    <t>9.</t>
  </si>
  <si>
    <t>Bieżące utrzymanie urzędu</t>
  </si>
  <si>
    <t>x</t>
  </si>
  <si>
    <t>10.</t>
  </si>
  <si>
    <t>Mieszkania socjalne</t>
  </si>
  <si>
    <t>11.</t>
  </si>
  <si>
    <t xml:space="preserve">e-świętokrzyskie Rozbudowa Infrastruktury Informatycznej JST </t>
  </si>
  <si>
    <t>Odsetki od kredytów</t>
  </si>
  <si>
    <t>Poręczenie pożyczki PGKiM</t>
  </si>
  <si>
    <t>Bieżące utrzymanie szkół</t>
  </si>
  <si>
    <t>ZEASiP</t>
  </si>
  <si>
    <t>Bieżące utrzymanie MOGPS</t>
  </si>
  <si>
    <t>MGOPS</t>
  </si>
  <si>
    <t>Nauki matematyczno-przyrodnicze kapitałem przyszłości</t>
  </si>
  <si>
    <t xml:space="preserve">A.      
B.
C. 15 505 - środki z budżetu krajowego
D. </t>
  </si>
  <si>
    <t>ZPO Gacki</t>
  </si>
  <si>
    <t>Konserwacja oświetlenia ulicznego</t>
  </si>
  <si>
    <t>Instalacja systemów energii odnawialnej na budynkach użyteczności publicznej oraz domach prywatnych w gminach powiatu buskiego i pińczowskiego</t>
  </si>
  <si>
    <t>Rewitalizacja środmieścia Pińczowa</t>
  </si>
  <si>
    <t>Renowacja starorzecza Nidy</t>
  </si>
  <si>
    <t xml:space="preserve">Przebudowa i modernizacja Pińczowskiego Samorządowego Centrum Kultury w Pińczowie </t>
  </si>
  <si>
    <t>Budowa hali widowiskowo-sportowej wraz z otwartą infrastrukturą sportowo-rekreacyjną w Pińczowie</t>
  </si>
  <si>
    <t>Modernizacja Miejskiego Ośrodka Sportu i Rekreacji w Pińczowie</t>
  </si>
  <si>
    <t>Ogółem</t>
  </si>
  <si>
    <t xml:space="preserve">A.  
B.
C.15 505
D. </t>
  </si>
  <si>
    <t xml:space="preserve">A.
B.
C.
D. </t>
  </si>
  <si>
    <t>e-świętokrzyskie Budowa Systemu Informacji Przestrzennej Województwa Świętokrzyskiego</t>
  </si>
  <si>
    <t>Plan dochodów i wydatków związanych z realizacją zadań z zakresu administracji rządowej i innych zadań zleconych odrębnymi ustawami w  2011 r.</t>
  </si>
  <si>
    <t>w  złotych</t>
  </si>
  <si>
    <t>Rozdział</t>
  </si>
  <si>
    <t>§</t>
  </si>
  <si>
    <t>Dotacje ogółem</t>
  </si>
  <si>
    <t>Wydatki
na 2011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</si>
  <si>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</si>
  <si>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</si>
  <si>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</si>
  <si>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</si>
  <si>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</si>
  <si>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</si>
  <si>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</si>
  <si>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</si>
  <si>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</si>
  <si>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</si>
  <si>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</si>
  <si>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</si>
  <si>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</si>
  <si>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01095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</si>
  <si>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</si>
  <si>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</si>
  <si>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</si>
  <si>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</si>
  <si>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Przewidywane nakłady i źródła finansowania</t>
  </si>
  <si>
    <t>Wydatki w roku budżetowym 2011</t>
  </si>
  <si>
    <t>źródło</t>
  </si>
  <si>
    <t>kwota</t>
  </si>
  <si>
    <t>Wartość zadania:</t>
  </si>
  <si>
    <t>Wydatki bieżące:</t>
  </si>
  <si>
    <t>Wydatki majątkowe:</t>
  </si>
  <si>
    <t>w tym: kredyty i pożyczki zaciągane na wydatki refundowane ze środków UE</t>
  </si>
  <si>
    <t>2009-2011</t>
  </si>
  <si>
    <t>2010-2011</t>
  </si>
  <si>
    <t>Zespół Placówek Oświatowych w Gackach</t>
  </si>
  <si>
    <t>Miejsko-Gminny Ośrodek Pomocy Społeczenej w Pińczowie</t>
  </si>
  <si>
    <t>2011-2013</t>
  </si>
  <si>
    <t>2011-2014</t>
  </si>
  <si>
    <t>2007-2011</t>
  </si>
  <si>
    <t>Ogółem wydatki</t>
  </si>
  <si>
    <t>- środki z UE oraz innych źródeł zagranicznych</t>
  </si>
  <si>
    <t>- środki z budżetu krajowego</t>
  </si>
  <si>
    <t>- środki z budżetu j.s.t.</t>
  </si>
  <si>
    <r>
      <t xml:space="preserve">Projekt: </t>
    </r>
    <r>
      <rPr>
        <b/>
        <sz val="10"/>
        <rFont val="Times New Roman CE"/>
        <family val="0"/>
      </rPr>
      <t>"Przebudowa i Modernizacja Pińczowskiego Samorządowego Centrum Kultury w Pińczowie"</t>
    </r>
  </si>
  <si>
    <r>
      <t>Działanie:</t>
    </r>
    <r>
      <rPr>
        <b/>
        <sz val="10"/>
        <rFont val="Times New Roman CE"/>
        <family val="0"/>
      </rPr>
      <t xml:space="preserve"> 5.2 "Podniesienie jakości usług publicznych poprzez wspieranie placówek edukacyjnych i kulturalnych"</t>
    </r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</si>
  <si>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</si>
  <si>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</si>
  <si>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Projekt: I</t>
    </r>
    <r>
      <rPr>
        <b/>
        <sz val="10"/>
        <rFont val="Times New Roman CE"/>
        <family val="0"/>
      </rPr>
      <t>nstalacja systemów energii odnawialnej na budynkach użyteczności publicznej oraz domach prywatnych w gminach powiatu buskiego i pińczowskiego</t>
    </r>
  </si>
  <si>
    <r>
      <t xml:space="preserve">Program:  </t>
    </r>
    <r>
      <rPr>
        <b/>
        <sz val="10"/>
        <rFont val="Times New Roman CE"/>
        <family val="0"/>
      </rPr>
      <t xml:space="preserve">Szwajcarsko-Polski Program Współpracy    </t>
    </r>
  </si>
  <si>
    <r>
      <t>Projekt:</t>
    </r>
    <r>
      <rPr>
        <b/>
        <sz val="10"/>
        <rFont val="Times New Roman CE"/>
        <family val="0"/>
      </rPr>
      <t xml:space="preserve"> Aktywizacja bezrobotnych w gminie Pińczów</t>
    </r>
  </si>
  <si>
    <r>
      <t xml:space="preserve">Priorytet: </t>
    </r>
    <r>
      <rPr>
        <b/>
        <sz val="10"/>
        <rFont val="Times New Roman CE"/>
        <family val="0"/>
      </rPr>
      <t>IX. Rozwój wykształcenia i kompetencji w regionach</t>
    </r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</si>
  <si>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</si>
  <si>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Promocja intergracji społecznej</t>
    </r>
  </si>
  <si>
    <r>
      <t>Projekt:</t>
    </r>
    <r>
      <rPr>
        <b/>
        <sz val="10"/>
        <rFont val="Times New Roman CE"/>
        <family val="0"/>
      </rPr>
      <t xml:space="preserve"> Nauki matematyczno-przyrodnicze kapitałem przyszłości</t>
    </r>
  </si>
  <si>
    <r>
      <t>Działanie: 9</t>
    </r>
    <r>
      <rPr>
        <b/>
        <sz val="10"/>
        <rFont val="Times New Roman CE"/>
        <family val="0"/>
      </rPr>
      <t>.1 Wyrównywanie szans edukacyjnych i zapewnienie wysokiej jakości usług edukacyjnych świadczonych w systemie oświaty</t>
    </r>
  </si>
  <si>
    <r>
      <t xml:space="preserve">Priorytet: </t>
    </r>
    <r>
      <rPr>
        <b/>
        <sz val="10"/>
        <rFont val="Times New Roman CE"/>
        <family val="0"/>
      </rPr>
      <t>IX Rozwój wykształcenia i kompetencji w regionach</t>
    </r>
  </si>
  <si>
    <r>
      <t xml:space="preserve">Projekt: </t>
    </r>
    <r>
      <rPr>
        <b/>
        <sz val="10"/>
        <rFont val="Times New Roman CE"/>
        <family val="0"/>
      </rPr>
      <t>"e-świętokrzyskie Rozbudowa Infrastruktury Informatycznej JST"</t>
    </r>
  </si>
  <si>
    <r>
      <t xml:space="preserve">Działanie: </t>
    </r>
    <r>
      <rPr>
        <b/>
        <sz val="10"/>
        <rFont val="Times New Roman CE"/>
        <family val="0"/>
      </rPr>
      <t>Budowa infrastruktury społeczeństwa informacyjnego</t>
    </r>
  </si>
  <si>
    <r>
      <t xml:space="preserve">Priorytet: </t>
    </r>
    <r>
      <rPr>
        <b/>
        <sz val="10"/>
        <rFont val="Times New Roman CE"/>
        <family val="0"/>
      </rPr>
      <t>Wsparcie innowacyjności, budowa społeczeństwa informacyjnego oraz wzrot potencjału inwestycyjnego regionu</t>
    </r>
  </si>
  <si>
    <r>
      <t xml:space="preserve">Projekt: </t>
    </r>
    <r>
      <rPr>
        <b/>
        <sz val="10"/>
        <rFont val="Times New Roman CE"/>
        <family val="0"/>
      </rPr>
      <t>"e-świętokrzyskie Budowa Systemu Informacji Przestrzennej Województwa Świętokrzyskiego"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</si>
  <si>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</si>
  <si>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</si>
  <si>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</si>
  <si>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r>
      <t xml:space="preserve">Projekt: </t>
    </r>
    <r>
      <rPr>
        <b/>
        <sz val="10"/>
        <rFont val="Times New Roman CE"/>
        <family val="0"/>
      </rPr>
      <t xml:space="preserve">"Budowa wodociągu w Zawarży -gmina Pińczów" 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</si>
  <si>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</si>
  <si>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</si>
  <si>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</si>
  <si>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</si>
  <si>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</si>
  <si>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</si>
  <si>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>Projekt:</t>
    </r>
    <r>
      <rPr>
        <b/>
        <sz val="10"/>
        <rFont val="Times New Roman CE"/>
        <family val="0"/>
      </rPr>
      <t xml:space="preserve"> Indywidualizacja nauczania i wychowania klas I-III w Gminie Pińczów</t>
    </r>
  </si>
  <si>
    <r>
      <t xml:space="preserve">Działanie: 9.1. </t>
    </r>
    <r>
      <rPr>
        <b/>
        <sz val="10"/>
        <rFont val="Times New Roman CE"/>
        <family val="0"/>
      </rPr>
      <t>Wyrównywanie szans edukacyjnych i zapewnienie wysokiej jakości usług edukacyjnych świadczonych w systemie oświaty</t>
    </r>
  </si>
  <si>
    <t>2008-2013</t>
  </si>
  <si>
    <t xml:space="preserve">A.      
B.
C. 
D. </t>
  </si>
  <si>
    <t>Indywidualizacja nauczania i wychowania klas I-III w Gminie Pińczów</t>
  </si>
  <si>
    <t>Zadania inwestycyjne roczne w 2011 r.</t>
  </si>
  <si>
    <t>Nazwa zadania inwestycyjnego</t>
  </si>
  <si>
    <t>rok budżetowy 2011 (7+8+9+10)</t>
  </si>
  <si>
    <t>dotacje i środki pochodzące
z innych  źr.*</t>
  </si>
  <si>
    <t>Przebudowa drogi Borków-Chwałowice</t>
  </si>
  <si>
    <t>Przebudowa drogi w Brześciu</t>
  </si>
  <si>
    <t>Przebudowa drogi w Woli Zagojskiej</t>
  </si>
  <si>
    <t>Razem dział 600</t>
  </si>
  <si>
    <t>Wykup gruntu</t>
  </si>
  <si>
    <t>Razem dział 700</t>
  </si>
  <si>
    <t>Wykonanie ogrodzenia wokół  remizy OSP- sołectwo  Krzyżanowice Dolne</t>
  </si>
  <si>
    <t>Wykonanie ogrodzenia remizy - sołectwo Marzęcin</t>
  </si>
  <si>
    <t>Wykonanie projektu sanitariatów przy remizie OSP- Sołectwo Kopernia</t>
  </si>
  <si>
    <t>Razem dział 754</t>
  </si>
  <si>
    <t>Koncepcja budowy Ośrodka Zdrowia w Gackach</t>
  </si>
  <si>
    <t>Razem dział 851</t>
  </si>
  <si>
    <t>Zakup komputera wraz z oprogramowaniem</t>
  </si>
  <si>
    <t xml:space="preserve">A.      
B.
C. 598
D. </t>
  </si>
  <si>
    <t>Miejsko-Gminny Ośrodek Pomocy Społecznek w Pińczowie</t>
  </si>
  <si>
    <t>Razem dział 853</t>
  </si>
  <si>
    <t>Projekt techniczny kanalizacjii ul. Żwirki i Wigury i Wyszyńskiego w Pińczowie</t>
  </si>
  <si>
    <t>Wykonanie ogrodzenia placu zabaw - sołectwo Marzęcin</t>
  </si>
  <si>
    <t>Ogrodzenie placu zabaw i boiska sportowego - sołectwo  Krzyżanowice Średnie</t>
  </si>
  <si>
    <t>Wybudowanie drewnianej altany na działce gminnej - Sołectwo Zagorzyce</t>
  </si>
  <si>
    <t>Budowa oświetlenia ulicznego - sołectwo Borków</t>
  </si>
  <si>
    <t>Dokumentacja projektowa dla budowy przydomowych oczyszczalni ścieków w gminie Pińczów</t>
  </si>
  <si>
    <t>Dostosowanie składowiska odpadów w Skrzypiowie do wymogów prawa</t>
  </si>
  <si>
    <t>Przebudowa targowicy miejskiej przy ul. Armii Ludowej</t>
  </si>
  <si>
    <t>Razem dział 900</t>
  </si>
  <si>
    <t>Adaptacja świetlicy w Gackach</t>
  </si>
  <si>
    <t>Wykonanie przyłącza wodociągowego do świetlicy wiejskiej - sołectwo  Włochy</t>
  </si>
  <si>
    <t>Wybrukowanie kostką brukową placu przy świetlicy wiejskiej - sołectwo  Młodzawy Duże</t>
  </si>
  <si>
    <t>Zakup i wykonanie ogrodzenia świetlicy -sołectwo Pasturka</t>
  </si>
  <si>
    <t>Wykonanie ogrodzenia wokół świetlicy wiejskiej - sołectwo  Orkanów</t>
  </si>
  <si>
    <t>Zmiana dachu na świetlicy wiejskiej - Sołectwo Zakrzów</t>
  </si>
  <si>
    <t>Razem dział 921</t>
  </si>
  <si>
    <t>Wykonanie boiska sportowego - Sołectwo  Gacki</t>
  </si>
  <si>
    <t>Razem dział 926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</si>
  <si>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</si>
  <si>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</si>
  <si>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</si>
  <si>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</si>
  <si>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</si>
  <si>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Razem dział 801</t>
  </si>
  <si>
    <t>Program "Rozwój szkolnictwa artystycznego/Instrumenty dla szkolnictwa artystycznego"</t>
  </si>
  <si>
    <t xml:space="preserve">A.     72 671 
B.
C.
D. </t>
  </si>
  <si>
    <r>
      <rPr>
        <b/>
        <sz val="11"/>
        <color indexed="8"/>
        <rFont val="Arial CE"/>
        <family val="0"/>
      </rPr>
      <t>A.</t>
    </r>
    <r>
      <rPr>
        <sz val="11"/>
        <color indexed="8"/>
        <rFont val="Arial CE"/>
        <family val="0"/>
      </rPr>
      <t xml:space="preserve">     72 671 
B.
C.
D. </t>
    </r>
  </si>
  <si>
    <t xml:space="preserve">A. 72 671  
B.
C. 598
D. </t>
  </si>
  <si>
    <t>Załącznik nr 3 do Uchwały Nr XIV/118/11Rady Miejskiej w Pińczowie z dnia 26 października 2011 r. w sprawie zmian w budżecie Gminy na rok 2011</t>
  </si>
  <si>
    <t>Załącznik nr 4 do Uchwały Nr XIV/118/11Rady Miejskiej w Pińczowie z dnia 26 października 2011 r.                                                                             w sprawie zmian w budżecie Gminy na rok 2011</t>
  </si>
  <si>
    <t>Załącznik nr 5 do Uchwały Nr XIV/118/11                                                        Rady Miejskiej w Pińczowie z dnia 26 października 2011 r.                                                                              w sprawie zmian w budżecie Gminy na rok 2011</t>
  </si>
  <si>
    <t>Załącznik nr 6 do Uchwały Nr XIV/118/11                          Rady Miejskiej w Pińczowie z dnia 26 października 2011 r. w sprawie zmian w budżecie Gminy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</si>
</sst>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14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center" vertical="center" wrapText="1"/>
    </xf>
    <xf numFmtId="0" fontId="18" fillId="0" borderId="0" xfId="51" applyFont="1">
      <alignment/>
      <protection/>
    </xf>
    <xf numFmtId="3" fontId="18" fillId="0" borderId="12" xfId="51" applyNumberFormat="1" applyFont="1" applyBorder="1">
      <alignment/>
      <protection/>
    </xf>
    <xf numFmtId="0" fontId="18" fillId="0" borderId="13" xfId="51" applyFont="1" applyBorder="1">
      <alignment/>
      <protection/>
    </xf>
    <xf numFmtId="0" fontId="18" fillId="0" borderId="13" xfId="51" applyFont="1" applyBorder="1">
      <alignment/>
      <protection/>
    </xf>
    <xf numFmtId="0" fontId="18" fillId="0" borderId="12" xfId="51" applyFont="1" applyBorder="1">
      <alignment/>
      <protection/>
    </xf>
    <xf numFmtId="0" fontId="19" fillId="0" borderId="12" xfId="51" applyFont="1" applyBorder="1" applyAlignment="1" quotePrefix="1">
      <alignment wrapText="1"/>
      <protection/>
    </xf>
    <xf numFmtId="3" fontId="18" fillId="0" borderId="14" xfId="51" applyNumberFormat="1" applyFont="1" applyBorder="1" applyAlignment="1">
      <alignment/>
      <protection/>
    </xf>
    <xf numFmtId="3" fontId="18" fillId="0" borderId="15" xfId="51" applyNumberFormat="1" applyFont="1" applyBorder="1" applyAlignment="1">
      <alignment/>
      <protection/>
    </xf>
    <xf numFmtId="0" fontId="18" fillId="0" borderId="16" xfId="51" applyFont="1" applyBorder="1">
      <alignment/>
      <protection/>
    </xf>
    <xf numFmtId="0" fontId="18" fillId="0" borderId="17" xfId="51" applyFont="1" applyBorder="1">
      <alignment/>
      <protection/>
    </xf>
    <xf numFmtId="0" fontId="19" fillId="0" borderId="17" xfId="51" applyFont="1" applyBorder="1" applyAlignment="1">
      <alignment wrapText="1"/>
      <protection/>
    </xf>
    <xf numFmtId="0" fontId="19" fillId="0" borderId="17" xfId="51" applyFont="1" applyBorder="1" applyAlignment="1" quotePrefix="1">
      <alignment wrapText="1"/>
      <protection/>
    </xf>
    <xf numFmtId="0" fontId="19" fillId="0" borderId="17" xfId="51" applyFont="1" applyBorder="1" quotePrefix="1">
      <alignment/>
      <protection/>
    </xf>
    <xf numFmtId="3" fontId="20" fillId="0" borderId="14" xfId="51" applyNumberFormat="1" applyFont="1" applyBorder="1" applyAlignment="1">
      <alignment/>
      <protection/>
    </xf>
    <xf numFmtId="3" fontId="20" fillId="0" borderId="15" xfId="51" applyNumberFormat="1" applyFont="1" applyBorder="1" applyAlignment="1">
      <alignment/>
      <protection/>
    </xf>
    <xf numFmtId="0" fontId="20" fillId="0" borderId="15" xfId="51" applyFont="1" applyBorder="1">
      <alignment/>
      <protection/>
    </xf>
    <xf numFmtId="0" fontId="20" fillId="0" borderId="14" xfId="51" applyFont="1" applyBorder="1">
      <alignment/>
      <protection/>
    </xf>
    <xf numFmtId="3" fontId="18" fillId="0" borderId="17" xfId="51" applyNumberFormat="1" applyFont="1" applyBorder="1">
      <alignment/>
      <protection/>
    </xf>
    <xf numFmtId="0" fontId="18" fillId="0" borderId="18" xfId="51" applyFont="1" applyBorder="1">
      <alignment/>
      <protection/>
    </xf>
    <xf numFmtId="0" fontId="18" fillId="0" borderId="17" xfId="51" applyFont="1" applyFill="1" applyBorder="1" applyAlignment="1">
      <alignment vertical="center" wrapText="1"/>
      <protection/>
    </xf>
    <xf numFmtId="0" fontId="18" fillId="0" borderId="12" xfId="51" applyFont="1" applyBorder="1" applyAlignment="1">
      <alignment horizontal="center" vertical="center"/>
      <protection/>
    </xf>
    <xf numFmtId="0" fontId="18" fillId="0" borderId="11" xfId="51" applyFont="1" applyFill="1" applyBorder="1" applyAlignment="1">
      <alignment vertical="center" wrapText="1"/>
      <protection/>
    </xf>
    <xf numFmtId="0" fontId="18" fillId="0" borderId="17" xfId="51" applyFont="1" applyBorder="1" applyAlignment="1">
      <alignment horizontal="center" vertical="center"/>
      <protection/>
    </xf>
    <xf numFmtId="0" fontId="18" fillId="0" borderId="11" xfId="51" applyFont="1" applyFill="1" applyBorder="1" applyAlignment="1">
      <alignment wrapText="1"/>
      <protection/>
    </xf>
    <xf numFmtId="0" fontId="20" fillId="0" borderId="0" xfId="51" applyFont="1">
      <alignment/>
      <protection/>
    </xf>
    <xf numFmtId="3" fontId="18" fillId="0" borderId="14" xfId="51" applyNumberFormat="1" applyFont="1" applyBorder="1">
      <alignment/>
      <protection/>
    </xf>
    <xf numFmtId="0" fontId="18" fillId="0" borderId="14" xfId="51" applyFont="1" applyBorder="1">
      <alignment/>
      <protection/>
    </xf>
    <xf numFmtId="0" fontId="18" fillId="0" borderId="14" xfId="5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18" fillId="0" borderId="11" xfId="51" applyFont="1" applyBorder="1" applyAlignment="1">
      <alignment wrapText="1"/>
      <protection/>
    </xf>
    <xf numFmtId="3" fontId="18" fillId="0" borderId="12" xfId="51" applyNumberFormat="1" applyFont="1" applyBorder="1">
      <alignment/>
      <protection/>
    </xf>
    <xf numFmtId="0" fontId="18" fillId="0" borderId="12" xfId="51" applyFont="1" applyBorder="1" applyAlignment="1">
      <alignment vertical="center"/>
      <protection/>
    </xf>
    <xf numFmtId="0" fontId="18" fillId="0" borderId="17" xfId="51" applyFont="1" applyBorder="1" applyAlignment="1">
      <alignment vertical="center"/>
      <protection/>
    </xf>
    <xf numFmtId="0" fontId="18" fillId="0" borderId="18" xfId="51" applyFont="1" applyBorder="1" applyAlignment="1">
      <alignment horizontal="center" vertical="center"/>
      <protection/>
    </xf>
    <xf numFmtId="0" fontId="19" fillId="0" borderId="17" xfId="51" applyFont="1" applyBorder="1" applyAlignment="1">
      <alignment horizontal="center" vertical="center" wrapText="1"/>
      <protection/>
    </xf>
    <xf numFmtId="0" fontId="18" fillId="0" borderId="14" xfId="51" applyFont="1" applyBorder="1" applyAlignment="1">
      <alignment vertical="center" wrapText="1"/>
      <protection/>
    </xf>
    <xf numFmtId="0" fontId="19" fillId="0" borderId="18" xfId="51" applyFont="1" applyBorder="1" quotePrefix="1">
      <alignment/>
      <protection/>
    </xf>
    <xf numFmtId="0" fontId="18" fillId="0" borderId="19" xfId="51" applyFont="1" applyBorder="1" applyAlignment="1">
      <alignment wrapText="1"/>
      <protection/>
    </xf>
    <xf numFmtId="0" fontId="18" fillId="0" borderId="20" xfId="51" applyFont="1" applyBorder="1">
      <alignment/>
      <protection/>
    </xf>
    <xf numFmtId="0" fontId="18" fillId="0" borderId="14" xfId="51" applyFont="1" applyBorder="1" applyAlignment="1">
      <alignment vertical="center"/>
      <protection/>
    </xf>
    <xf numFmtId="0" fontId="18" fillId="0" borderId="19" xfId="51" applyFont="1" applyBorder="1" applyAlignment="1">
      <alignment vertical="center" wrapText="1"/>
      <protection/>
    </xf>
    <xf numFmtId="0" fontId="18" fillId="0" borderId="11" xfId="51" applyFont="1" applyBorder="1" applyAlignment="1">
      <alignment vertical="center" wrapText="1"/>
      <protection/>
    </xf>
    <xf numFmtId="0" fontId="18" fillId="0" borderId="11" xfId="51" applyFont="1" applyBorder="1" applyAlignment="1">
      <alignment horizontal="left" wrapText="1"/>
      <protection/>
    </xf>
    <xf numFmtId="0" fontId="18" fillId="0" borderId="12" xfId="51" applyFont="1" applyBorder="1" applyAlignment="1">
      <alignment wrapText="1"/>
      <protection/>
    </xf>
    <xf numFmtId="0" fontId="18" fillId="0" borderId="14" xfId="51" applyFont="1" applyBorder="1" applyAlignment="1">
      <alignment wrapText="1"/>
      <protection/>
    </xf>
    <xf numFmtId="0" fontId="18" fillId="0" borderId="18" xfId="51" applyFont="1" applyBorder="1" applyAlignment="1">
      <alignment horizontal="center" vertical="center" wrapText="1"/>
      <protection/>
    </xf>
    <xf numFmtId="0" fontId="19" fillId="0" borderId="18" xfId="51" applyFont="1" applyBorder="1" applyAlignment="1" quotePrefix="1">
      <alignment wrapText="1"/>
      <protection/>
    </xf>
    <xf numFmtId="0" fontId="18" fillId="0" borderId="14" xfId="51" applyFont="1" applyFill="1" applyBorder="1" applyAlignment="1">
      <alignment vertical="center" wrapText="1"/>
      <protection/>
    </xf>
    <xf numFmtId="0" fontId="21" fillId="0" borderId="0" xfId="51" applyFont="1">
      <alignment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8" fillId="0" borderId="0" xfId="51" applyFont="1" applyAlignment="1">
      <alignment horizontal="center" wrapText="1"/>
      <protection/>
    </xf>
    <xf numFmtId="0" fontId="19" fillId="0" borderId="0" xfId="51" applyFont="1">
      <alignment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18" fillId="0" borderId="14" xfId="51" applyFont="1" applyBorder="1" applyAlignment="1">
      <alignment horizontal="left" vertical="top" wrapText="1"/>
      <protection/>
    </xf>
    <xf numFmtId="0" fontId="18" fillId="0" borderId="12" xfId="51" applyFont="1" applyBorder="1" applyAlignment="1">
      <alignment horizontal="left" vertical="top" wrapText="1"/>
      <protection/>
    </xf>
    <xf numFmtId="0" fontId="18" fillId="0" borderId="14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18" fillId="0" borderId="17" xfId="51" applyFont="1" applyBorder="1" applyAlignment="1">
      <alignment horizontal="center" vertical="center" wrapText="1"/>
      <protection/>
    </xf>
    <xf numFmtId="0" fontId="18" fillId="0" borderId="14" xfId="51" applyFont="1" applyBorder="1" applyAlignment="1">
      <alignment horizontal="left" wrapText="1"/>
      <protection/>
    </xf>
    <xf numFmtId="0" fontId="18" fillId="0" borderId="12" xfId="51" applyFont="1" applyBorder="1" applyAlignment="1">
      <alignment horizontal="left" wrapText="1"/>
      <protection/>
    </xf>
    <xf numFmtId="0" fontId="18" fillId="0" borderId="17" xfId="51" applyFont="1" applyFill="1" applyBorder="1" applyAlignment="1">
      <alignment horizontal="left" vertical="center" wrapText="1"/>
      <protection/>
    </xf>
    <xf numFmtId="0" fontId="18" fillId="0" borderId="12" xfId="51" applyFont="1" applyFill="1" applyBorder="1" applyAlignment="1">
      <alignment horizontal="left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/>
      <protection/>
    </xf>
    <xf numFmtId="49" fontId="18" fillId="0" borderId="14" xfId="51" applyNumberFormat="1" applyFont="1" applyBorder="1" applyAlignment="1">
      <alignment horizontal="center" vertical="center"/>
      <protection/>
    </xf>
    <xf numFmtId="49" fontId="18" fillId="0" borderId="17" xfId="51" applyNumberFormat="1" applyFont="1" applyBorder="1" applyAlignment="1">
      <alignment horizontal="center" vertical="center"/>
      <protection/>
    </xf>
    <xf numFmtId="49" fontId="18" fillId="0" borderId="12" xfId="51" applyNumberFormat="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/>
      <protection/>
    </xf>
    <xf numFmtId="0" fontId="18" fillId="0" borderId="17" xfId="51" applyFont="1" applyBorder="1" applyAlignment="1">
      <alignment horizontal="center"/>
      <protection/>
    </xf>
    <xf numFmtId="0" fontId="18" fillId="0" borderId="12" xfId="51" applyFont="1" applyBorder="1" applyAlignment="1">
      <alignment horizontal="center"/>
      <protection/>
    </xf>
    <xf numFmtId="0" fontId="19" fillId="0" borderId="14" xfId="51" applyFont="1" applyBorder="1" applyAlignment="1">
      <alignment horizontal="center" vertical="center" wrapText="1"/>
      <protection/>
    </xf>
    <xf numFmtId="0" fontId="19" fillId="0" borderId="17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left" wrapText="1"/>
      <protection/>
    </xf>
    <xf numFmtId="0" fontId="19" fillId="0" borderId="20" xfId="51" applyFont="1" applyBorder="1" applyAlignment="1">
      <alignment horizontal="center" vertical="center" wrapText="1"/>
      <protection/>
    </xf>
    <xf numFmtId="0" fontId="19" fillId="0" borderId="18" xfId="51" applyFont="1" applyBorder="1" applyAlignment="1">
      <alignment horizontal="center" vertical="center" wrapText="1"/>
      <protection/>
    </xf>
    <xf numFmtId="0" fontId="19" fillId="0" borderId="22" xfId="51" applyFont="1" applyBorder="1" applyAlignment="1">
      <alignment horizontal="center" vertical="center" wrapText="1"/>
      <protection/>
    </xf>
    <xf numFmtId="0" fontId="20" fillId="0" borderId="0" xfId="51" applyFont="1" applyAlignment="1">
      <alignment horizont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88">
      <selection activeCell="L84" sqref="L84"/>
    </sheetView>
  </sheetViews>
  <sheetFormatPr defaultColWidth="9.140625" defaultRowHeight="15"/>
  <cols>
    <col min="1" max="1" width="4.57421875" style="1" customWidth="1"/>
    <col min="2" max="2" width="4.8515625" style="1" bestFit="1" customWidth="1"/>
    <col min="3" max="3" width="5.8515625" style="1" customWidth="1"/>
    <col min="4" max="4" width="20.28125" style="1" customWidth="1"/>
    <col min="5" max="5" width="10.00390625" style="1" customWidth="1"/>
    <col min="6" max="6" width="11.28125" style="1" customWidth="1"/>
    <col min="7" max="7" width="10.7109375" style="1" customWidth="1"/>
    <col min="8" max="8" width="10.57421875" style="1" customWidth="1"/>
    <col min="9" max="9" width="10.00390625" style="1" customWidth="1"/>
    <col min="10" max="10" width="13.8515625" style="1" customWidth="1"/>
    <col min="11" max="11" width="11.00390625" style="1" customWidth="1"/>
    <col min="12" max="12" width="11.8515625" style="1" customWidth="1"/>
    <col min="13" max="13" width="9.140625" style="1" customWidth="1"/>
    <col min="14" max="14" width="9.8515625" style="1" bestFit="1" customWidth="1"/>
    <col min="15" max="16384" width="9.140625" style="1" customWidth="1"/>
  </cols>
  <sheetData>
    <row r="1" spans="9:12" ht="12.75" customHeight="1">
      <c r="I1" s="120" t="s">
        <v>190</v>
      </c>
      <c r="J1" s="120"/>
      <c r="K1" s="120"/>
      <c r="L1" s="120"/>
    </row>
    <row r="2" spans="9:12" ht="14.25">
      <c r="I2" s="120"/>
      <c r="J2" s="120"/>
      <c r="K2" s="120"/>
      <c r="L2" s="120"/>
    </row>
    <row r="3" spans="9:12" ht="14.25">
      <c r="I3" s="120"/>
      <c r="J3" s="120"/>
      <c r="K3" s="120"/>
      <c r="L3" s="120"/>
    </row>
    <row r="4" ht="5.25" customHeight="1"/>
    <row r="5" spans="1:12" ht="18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1</v>
      </c>
    </row>
    <row r="7" spans="1:12" s="4" customFormat="1" ht="19.5" customHeight="1">
      <c r="A7" s="122" t="s">
        <v>2</v>
      </c>
      <c r="B7" s="122" t="s">
        <v>3</v>
      </c>
      <c r="C7" s="122" t="s">
        <v>4</v>
      </c>
      <c r="D7" s="130" t="s">
        <v>5</v>
      </c>
      <c r="E7" s="130" t="s">
        <v>6</v>
      </c>
      <c r="F7" s="123" t="s">
        <v>7</v>
      </c>
      <c r="G7" s="123"/>
      <c r="H7" s="123"/>
      <c r="I7" s="123"/>
      <c r="J7" s="123"/>
      <c r="K7" s="123"/>
      <c r="L7" s="130" t="s">
        <v>8</v>
      </c>
    </row>
    <row r="8" spans="1:12" s="4" customFormat="1" ht="19.5" customHeight="1">
      <c r="A8" s="122"/>
      <c r="B8" s="122"/>
      <c r="C8" s="122"/>
      <c r="D8" s="130"/>
      <c r="E8" s="130"/>
      <c r="F8" s="124" t="s">
        <v>9</v>
      </c>
      <c r="G8" s="130" t="s">
        <v>10</v>
      </c>
      <c r="H8" s="130"/>
      <c r="I8" s="130"/>
      <c r="J8" s="130"/>
      <c r="K8" s="130"/>
      <c r="L8" s="130"/>
    </row>
    <row r="9" spans="1:12" s="4" customFormat="1" ht="19.5" customHeight="1">
      <c r="A9" s="122"/>
      <c r="B9" s="122"/>
      <c r="C9" s="122"/>
      <c r="D9" s="130"/>
      <c r="E9" s="130"/>
      <c r="F9" s="124"/>
      <c r="G9" s="131" t="s">
        <v>11</v>
      </c>
      <c r="H9" s="134" t="s">
        <v>12</v>
      </c>
      <c r="I9" s="5" t="s">
        <v>13</v>
      </c>
      <c r="J9" s="131" t="s">
        <v>14</v>
      </c>
      <c r="K9" s="134" t="s">
        <v>15</v>
      </c>
      <c r="L9" s="130"/>
    </row>
    <row r="10" spans="1:12" s="4" customFormat="1" ht="29.25" customHeight="1">
      <c r="A10" s="122"/>
      <c r="B10" s="122"/>
      <c r="C10" s="122"/>
      <c r="D10" s="130"/>
      <c r="E10" s="130"/>
      <c r="F10" s="124"/>
      <c r="G10" s="132"/>
      <c r="H10" s="132"/>
      <c r="I10" s="135" t="s">
        <v>16</v>
      </c>
      <c r="J10" s="132"/>
      <c r="K10" s="132"/>
      <c r="L10" s="130"/>
    </row>
    <row r="11" spans="1:12" s="4" customFormat="1" ht="19.5" customHeight="1">
      <c r="A11" s="122"/>
      <c r="B11" s="122"/>
      <c r="C11" s="122"/>
      <c r="D11" s="130"/>
      <c r="E11" s="130"/>
      <c r="F11" s="124"/>
      <c r="G11" s="132"/>
      <c r="H11" s="132"/>
      <c r="I11" s="135"/>
      <c r="J11" s="132"/>
      <c r="K11" s="132"/>
      <c r="L11" s="130"/>
    </row>
    <row r="12" spans="1:12" s="4" customFormat="1" ht="56.25" customHeight="1">
      <c r="A12" s="122"/>
      <c r="B12" s="122"/>
      <c r="C12" s="122"/>
      <c r="D12" s="130"/>
      <c r="E12" s="130"/>
      <c r="F12" s="124"/>
      <c r="G12" s="133"/>
      <c r="H12" s="133"/>
      <c r="I12" s="135"/>
      <c r="J12" s="133"/>
      <c r="K12" s="133"/>
      <c r="L12" s="130"/>
    </row>
    <row r="13" spans="1:12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/>
      <c r="J13" s="6">
        <v>9</v>
      </c>
      <c r="K13" s="6">
        <v>10</v>
      </c>
      <c r="L13" s="6">
        <v>12</v>
      </c>
    </row>
    <row r="14" spans="1:12" ht="60.75" customHeight="1">
      <c r="A14" s="128" t="s">
        <v>17</v>
      </c>
      <c r="B14" s="117" t="s">
        <v>18</v>
      </c>
      <c r="C14" s="117" t="s">
        <v>19</v>
      </c>
      <c r="D14" s="7" t="s">
        <v>20</v>
      </c>
      <c r="E14" s="8">
        <f>909700+731274+1500000+810000+250000</f>
        <v>4200974</v>
      </c>
      <c r="F14" s="8">
        <f>G14+H14+K14</f>
        <v>2382121</v>
      </c>
      <c r="G14" s="8">
        <v>100000</v>
      </c>
      <c r="H14" s="8">
        <f>750000+882121</f>
        <v>1632121</v>
      </c>
      <c r="I14" s="8">
        <v>0</v>
      </c>
      <c r="J14" s="9" t="s">
        <v>21</v>
      </c>
      <c r="K14" s="10">
        <f>650000</f>
        <v>650000</v>
      </c>
      <c r="L14" s="129" t="s">
        <v>22</v>
      </c>
    </row>
    <row r="15" spans="1:12" ht="14.25">
      <c r="A15" s="128"/>
      <c r="B15" s="117"/>
      <c r="C15" s="117"/>
      <c r="D15" s="11" t="s">
        <v>23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1" t="s">
        <v>24</v>
      </c>
      <c r="K15" s="11">
        <v>0</v>
      </c>
      <c r="L15" s="129"/>
    </row>
    <row r="16" spans="1:12" ht="14.25">
      <c r="A16" s="128"/>
      <c r="B16" s="117"/>
      <c r="C16" s="117"/>
      <c r="D16" s="11" t="s">
        <v>25</v>
      </c>
      <c r="E16" s="8">
        <f>E14</f>
        <v>4200974</v>
      </c>
      <c r="F16" s="8">
        <f>F14</f>
        <v>2382121</v>
      </c>
      <c r="G16" s="8">
        <f>G14</f>
        <v>100000</v>
      </c>
      <c r="H16" s="8">
        <f>H14</f>
        <v>1632121</v>
      </c>
      <c r="I16" s="8">
        <f>I14</f>
        <v>0</v>
      </c>
      <c r="J16" s="9" t="s">
        <v>24</v>
      </c>
      <c r="K16" s="10">
        <f>K14</f>
        <v>650000</v>
      </c>
      <c r="L16" s="129"/>
    </row>
    <row r="17" spans="1:12" ht="57">
      <c r="A17" s="128" t="s">
        <v>26</v>
      </c>
      <c r="B17" s="117" t="s">
        <v>18</v>
      </c>
      <c r="C17" s="117" t="s">
        <v>19</v>
      </c>
      <c r="D17" s="7" t="s">
        <v>27</v>
      </c>
      <c r="E17" s="8">
        <v>518462</v>
      </c>
      <c r="F17" s="8">
        <f>450000+20000</f>
        <v>470000</v>
      </c>
      <c r="G17" s="8">
        <v>0</v>
      </c>
      <c r="H17" s="8">
        <f>F17-K17</f>
        <v>200000</v>
      </c>
      <c r="I17" s="8">
        <v>0</v>
      </c>
      <c r="J17" s="9" t="s">
        <v>21</v>
      </c>
      <c r="K17" s="10">
        <f>250000+20000</f>
        <v>270000</v>
      </c>
      <c r="L17" s="129" t="s">
        <v>22</v>
      </c>
    </row>
    <row r="18" spans="1:12" ht="14.25">
      <c r="A18" s="128"/>
      <c r="B18" s="117"/>
      <c r="C18" s="117"/>
      <c r="D18" s="11" t="s">
        <v>23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 t="s">
        <v>24</v>
      </c>
      <c r="K18" s="9">
        <v>0</v>
      </c>
      <c r="L18" s="129"/>
    </row>
    <row r="19" spans="1:12" ht="14.25">
      <c r="A19" s="128"/>
      <c r="B19" s="117"/>
      <c r="C19" s="117"/>
      <c r="D19" s="11" t="s">
        <v>25</v>
      </c>
      <c r="E19" s="8">
        <f>E17</f>
        <v>518462</v>
      </c>
      <c r="F19" s="8">
        <f>F17</f>
        <v>470000</v>
      </c>
      <c r="G19" s="8">
        <f>G17</f>
        <v>0</v>
      </c>
      <c r="H19" s="8">
        <f>H17</f>
        <v>200000</v>
      </c>
      <c r="I19" s="8">
        <f>I17</f>
        <v>0</v>
      </c>
      <c r="J19" s="9" t="s">
        <v>24</v>
      </c>
      <c r="K19" s="10">
        <f>K17</f>
        <v>270000</v>
      </c>
      <c r="L19" s="129"/>
    </row>
    <row r="20" spans="1:12" ht="114">
      <c r="A20" s="128" t="s">
        <v>28</v>
      </c>
      <c r="B20" s="128">
        <v>600</v>
      </c>
      <c r="C20" s="128">
        <v>60013</v>
      </c>
      <c r="D20" s="7" t="s">
        <v>29</v>
      </c>
      <c r="E20" s="8">
        <v>1162780</v>
      </c>
      <c r="F20" s="8">
        <v>210000</v>
      </c>
      <c r="G20" s="8">
        <v>0</v>
      </c>
      <c r="H20" s="8">
        <f>F20-K20</f>
        <v>210000</v>
      </c>
      <c r="I20" s="8">
        <v>0</v>
      </c>
      <c r="J20" s="9" t="s">
        <v>21</v>
      </c>
      <c r="K20" s="10">
        <v>0</v>
      </c>
      <c r="L20" s="129" t="s">
        <v>22</v>
      </c>
    </row>
    <row r="21" spans="1:12" ht="14.25">
      <c r="A21" s="128"/>
      <c r="B21" s="128"/>
      <c r="C21" s="128"/>
      <c r="D21" s="11" t="s">
        <v>23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1" t="s">
        <v>24</v>
      </c>
      <c r="K21" s="9">
        <v>0</v>
      </c>
      <c r="L21" s="129"/>
    </row>
    <row r="22" spans="1:12" ht="14.25">
      <c r="A22" s="128"/>
      <c r="B22" s="128"/>
      <c r="C22" s="128"/>
      <c r="D22" s="11" t="s">
        <v>25</v>
      </c>
      <c r="E22" s="8">
        <f>E20</f>
        <v>1162780</v>
      </c>
      <c r="F22" s="8">
        <f>F20</f>
        <v>210000</v>
      </c>
      <c r="G22" s="8">
        <f>G20</f>
        <v>0</v>
      </c>
      <c r="H22" s="8">
        <f>H20</f>
        <v>210000</v>
      </c>
      <c r="I22" s="8">
        <f>I20</f>
        <v>0</v>
      </c>
      <c r="J22" s="9" t="s">
        <v>24</v>
      </c>
      <c r="K22" s="10">
        <f>K20</f>
        <v>0</v>
      </c>
      <c r="L22" s="129"/>
    </row>
    <row r="23" spans="1:12" ht="57">
      <c r="A23" s="128" t="s">
        <v>30</v>
      </c>
      <c r="B23" s="128">
        <v>600</v>
      </c>
      <c r="C23" s="128">
        <v>60016</v>
      </c>
      <c r="D23" s="7" t="s">
        <v>31</v>
      </c>
      <c r="E23" s="8">
        <v>6012324</v>
      </c>
      <c r="F23" s="8">
        <f>2500000+442333+550000-140000</f>
        <v>3352333</v>
      </c>
      <c r="G23" s="8">
        <v>300000</v>
      </c>
      <c r="H23" s="8">
        <f>F23-K23</f>
        <v>1302333</v>
      </c>
      <c r="I23" s="8">
        <v>0</v>
      </c>
      <c r="J23" s="9" t="s">
        <v>21</v>
      </c>
      <c r="K23" s="10">
        <f>1500000+300000+550000-300000</f>
        <v>2050000</v>
      </c>
      <c r="L23" s="129" t="s">
        <v>22</v>
      </c>
    </row>
    <row r="24" spans="1:12" ht="14.25">
      <c r="A24" s="128"/>
      <c r="B24" s="128"/>
      <c r="C24" s="128"/>
      <c r="D24" s="11" t="s">
        <v>23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 t="s">
        <v>24</v>
      </c>
      <c r="K24" s="9">
        <v>0</v>
      </c>
      <c r="L24" s="129"/>
    </row>
    <row r="25" spans="1:12" ht="14.25">
      <c r="A25" s="128"/>
      <c r="B25" s="128"/>
      <c r="C25" s="128"/>
      <c r="D25" s="11" t="s">
        <v>25</v>
      </c>
      <c r="E25" s="8">
        <f>E23</f>
        <v>6012324</v>
      </c>
      <c r="F25" s="8">
        <f>F23</f>
        <v>3352333</v>
      </c>
      <c r="G25" s="8">
        <f>G23</f>
        <v>300000</v>
      </c>
      <c r="H25" s="8">
        <f>H23</f>
        <v>1302333</v>
      </c>
      <c r="I25" s="8">
        <f>I23</f>
        <v>0</v>
      </c>
      <c r="J25" s="9" t="s">
        <v>24</v>
      </c>
      <c r="K25" s="10">
        <f>K23</f>
        <v>2050000</v>
      </c>
      <c r="L25" s="129"/>
    </row>
    <row r="26" spans="1:12" ht="57">
      <c r="A26" s="128" t="s">
        <v>32</v>
      </c>
      <c r="B26" s="128">
        <v>600</v>
      </c>
      <c r="C26" s="128">
        <v>60016</v>
      </c>
      <c r="D26" s="7" t="s">
        <v>33</v>
      </c>
      <c r="E26" s="8">
        <v>1306494</v>
      </c>
      <c r="F26" s="8">
        <v>50000</v>
      </c>
      <c r="G26" s="8">
        <v>0</v>
      </c>
      <c r="H26" s="8">
        <f>F26-K26</f>
        <v>50000</v>
      </c>
      <c r="I26" s="8">
        <v>0</v>
      </c>
      <c r="J26" s="9" t="s">
        <v>21</v>
      </c>
      <c r="K26" s="10">
        <v>0</v>
      </c>
      <c r="L26" s="129" t="s">
        <v>22</v>
      </c>
    </row>
    <row r="27" spans="1:12" ht="14.25">
      <c r="A27" s="128"/>
      <c r="B27" s="128"/>
      <c r="C27" s="128"/>
      <c r="D27" s="11" t="s">
        <v>23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 t="s">
        <v>24</v>
      </c>
      <c r="K27" s="9">
        <v>0</v>
      </c>
      <c r="L27" s="129"/>
    </row>
    <row r="28" spans="1:12" ht="14.25">
      <c r="A28" s="128"/>
      <c r="B28" s="128"/>
      <c r="C28" s="128"/>
      <c r="D28" s="11" t="s">
        <v>25</v>
      </c>
      <c r="E28" s="8">
        <f>E26</f>
        <v>1306494</v>
      </c>
      <c r="F28" s="8">
        <f>F26</f>
        <v>50000</v>
      </c>
      <c r="G28" s="8">
        <f>G26</f>
        <v>0</v>
      </c>
      <c r="H28" s="8">
        <f>H26</f>
        <v>50000</v>
      </c>
      <c r="I28" s="8">
        <f>I26</f>
        <v>0</v>
      </c>
      <c r="J28" s="9" t="s">
        <v>24</v>
      </c>
      <c r="K28" s="10">
        <f>K26</f>
        <v>0</v>
      </c>
      <c r="L28" s="129"/>
    </row>
    <row r="29" spans="1:12" ht="85.5">
      <c r="A29" s="128" t="s">
        <v>34</v>
      </c>
      <c r="B29" s="128">
        <v>600</v>
      </c>
      <c r="C29" s="128">
        <v>60016</v>
      </c>
      <c r="D29" s="7" t="s">
        <v>35</v>
      </c>
      <c r="E29" s="8">
        <v>117920</v>
      </c>
      <c r="F29" s="8">
        <v>80000</v>
      </c>
      <c r="G29" s="8">
        <v>0</v>
      </c>
      <c r="H29" s="8">
        <f>F29-K29</f>
        <v>80000</v>
      </c>
      <c r="I29" s="8">
        <v>0</v>
      </c>
      <c r="J29" s="9" t="s">
        <v>21</v>
      </c>
      <c r="K29" s="10">
        <v>0</v>
      </c>
      <c r="L29" s="129" t="s">
        <v>22</v>
      </c>
    </row>
    <row r="30" spans="1:12" ht="14.25">
      <c r="A30" s="128"/>
      <c r="B30" s="128"/>
      <c r="C30" s="128"/>
      <c r="D30" s="11" t="s">
        <v>23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1" t="s">
        <v>24</v>
      </c>
      <c r="K30" s="9">
        <v>0</v>
      </c>
      <c r="L30" s="129"/>
    </row>
    <row r="31" spans="1:12" ht="14.25">
      <c r="A31" s="128"/>
      <c r="B31" s="128"/>
      <c r="C31" s="128"/>
      <c r="D31" s="11" t="s">
        <v>25</v>
      </c>
      <c r="E31" s="8">
        <f>E29</f>
        <v>117920</v>
      </c>
      <c r="F31" s="8">
        <f>F29</f>
        <v>80000</v>
      </c>
      <c r="G31" s="8">
        <f>G29</f>
        <v>0</v>
      </c>
      <c r="H31" s="8">
        <f>H29</f>
        <v>80000</v>
      </c>
      <c r="I31" s="8">
        <f>I29</f>
        <v>0</v>
      </c>
      <c r="J31" s="9" t="s">
        <v>24</v>
      </c>
      <c r="K31" s="10">
        <f>K29</f>
        <v>0</v>
      </c>
      <c r="L31" s="129"/>
    </row>
    <row r="32" spans="1:12" ht="57">
      <c r="A32" s="128" t="s">
        <v>36</v>
      </c>
      <c r="B32" s="128">
        <v>600</v>
      </c>
      <c r="C32" s="128">
        <v>60016</v>
      </c>
      <c r="D32" s="7" t="s">
        <v>37</v>
      </c>
      <c r="E32" s="8">
        <v>300000</v>
      </c>
      <c r="F32" s="8">
        <f>100000+12500+10100</f>
        <v>122600</v>
      </c>
      <c r="G32" s="8">
        <v>12500</v>
      </c>
      <c r="H32" s="8">
        <f>F32-K32-G32</f>
        <v>110100</v>
      </c>
      <c r="I32" s="8">
        <v>0</v>
      </c>
      <c r="J32" s="9" t="s">
        <v>21</v>
      </c>
      <c r="K32" s="10">
        <v>0</v>
      </c>
      <c r="L32" s="129" t="s">
        <v>22</v>
      </c>
    </row>
    <row r="33" spans="1:12" ht="14.25">
      <c r="A33" s="128"/>
      <c r="B33" s="128"/>
      <c r="C33" s="128"/>
      <c r="D33" s="9" t="s">
        <v>23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1" t="s">
        <v>24</v>
      </c>
      <c r="K33" s="10">
        <v>0</v>
      </c>
      <c r="L33" s="129"/>
    </row>
    <row r="34" spans="1:12" ht="14.25">
      <c r="A34" s="128"/>
      <c r="B34" s="128"/>
      <c r="C34" s="128"/>
      <c r="D34" s="9" t="s">
        <v>25</v>
      </c>
      <c r="E34" s="8">
        <f>E32</f>
        <v>300000</v>
      </c>
      <c r="F34" s="8">
        <f>F32</f>
        <v>122600</v>
      </c>
      <c r="G34" s="8">
        <f>G32</f>
        <v>12500</v>
      </c>
      <c r="H34" s="8">
        <f>H32</f>
        <v>110100</v>
      </c>
      <c r="I34" s="8">
        <v>0</v>
      </c>
      <c r="J34" s="9" t="s">
        <v>24</v>
      </c>
      <c r="K34" s="10">
        <v>0</v>
      </c>
      <c r="L34" s="129"/>
    </row>
    <row r="35" spans="1:12" ht="57">
      <c r="A35" s="128" t="s">
        <v>38</v>
      </c>
      <c r="B35" s="128">
        <v>600</v>
      </c>
      <c r="C35" s="128">
        <v>60016</v>
      </c>
      <c r="D35" s="9" t="s">
        <v>39</v>
      </c>
      <c r="E35" s="8">
        <f>200000+95000+27000</f>
        <v>322000</v>
      </c>
      <c r="F35" s="8">
        <f>180000+27000+95000</f>
        <v>302000</v>
      </c>
      <c r="G35" s="8">
        <f>180000+27000+95000</f>
        <v>302000</v>
      </c>
      <c r="H35" s="8">
        <v>0</v>
      </c>
      <c r="I35" s="8">
        <v>0</v>
      </c>
      <c r="J35" s="9" t="s">
        <v>21</v>
      </c>
      <c r="K35" s="10">
        <v>0</v>
      </c>
      <c r="L35" s="129" t="s">
        <v>22</v>
      </c>
    </row>
    <row r="36" spans="1:12" ht="14.25">
      <c r="A36" s="128"/>
      <c r="B36" s="128"/>
      <c r="C36" s="128"/>
      <c r="D36" s="9" t="s">
        <v>23</v>
      </c>
      <c r="E36" s="8">
        <f>E35</f>
        <v>322000</v>
      </c>
      <c r="F36" s="8">
        <f>F35</f>
        <v>302000</v>
      </c>
      <c r="G36" s="8">
        <f>G35</f>
        <v>302000</v>
      </c>
      <c r="H36" s="8">
        <v>0</v>
      </c>
      <c r="I36" s="8">
        <v>0</v>
      </c>
      <c r="J36" s="11" t="s">
        <v>24</v>
      </c>
      <c r="K36" s="10">
        <v>0</v>
      </c>
      <c r="L36" s="129"/>
    </row>
    <row r="37" spans="1:12" ht="14.25">
      <c r="A37" s="128"/>
      <c r="B37" s="128"/>
      <c r="C37" s="128"/>
      <c r="D37" s="9" t="s">
        <v>25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9" t="s">
        <v>24</v>
      </c>
      <c r="K37" s="10">
        <v>0</v>
      </c>
      <c r="L37" s="129"/>
    </row>
    <row r="38" spans="1:12" ht="57">
      <c r="A38" s="128" t="s">
        <v>40</v>
      </c>
      <c r="B38" s="125">
        <v>750</v>
      </c>
      <c r="C38" s="125">
        <v>75023</v>
      </c>
      <c r="D38" s="9" t="s">
        <v>41</v>
      </c>
      <c r="E38" s="8">
        <f>1546962+10000+40000+20000</f>
        <v>1616962</v>
      </c>
      <c r="F38" s="8">
        <f>378076+10000+40000+20000</f>
        <v>448076</v>
      </c>
      <c r="G38" s="8">
        <f>378076+10000+40000+20000</f>
        <v>448076</v>
      </c>
      <c r="H38" s="8">
        <v>0</v>
      </c>
      <c r="I38" s="8">
        <v>0</v>
      </c>
      <c r="J38" s="9" t="s">
        <v>21</v>
      </c>
      <c r="K38" s="8">
        <v>0</v>
      </c>
      <c r="L38" s="129" t="s">
        <v>22</v>
      </c>
    </row>
    <row r="39" spans="1:12" ht="14.25">
      <c r="A39" s="128"/>
      <c r="B39" s="126"/>
      <c r="C39" s="126"/>
      <c r="D39" s="9" t="s">
        <v>23</v>
      </c>
      <c r="E39" s="8">
        <f>E38</f>
        <v>1616962</v>
      </c>
      <c r="F39" s="8">
        <f>F38</f>
        <v>448076</v>
      </c>
      <c r="G39" s="8">
        <f>G38</f>
        <v>448076</v>
      </c>
      <c r="H39" s="8">
        <v>0</v>
      </c>
      <c r="I39" s="8">
        <v>0</v>
      </c>
      <c r="J39" s="8" t="s">
        <v>42</v>
      </c>
      <c r="K39" s="8">
        <v>0</v>
      </c>
      <c r="L39" s="129"/>
    </row>
    <row r="40" spans="1:12" ht="14.25">
      <c r="A40" s="128"/>
      <c r="B40" s="127"/>
      <c r="C40" s="127"/>
      <c r="D40" s="9" t="s">
        <v>25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9">
        <v>0</v>
      </c>
      <c r="K40" s="10">
        <v>0</v>
      </c>
      <c r="L40" s="129"/>
    </row>
    <row r="41" spans="1:12" ht="57">
      <c r="A41" s="128" t="s">
        <v>43</v>
      </c>
      <c r="B41" s="128">
        <v>700</v>
      </c>
      <c r="C41" s="128">
        <v>70095</v>
      </c>
      <c r="D41" s="7" t="s">
        <v>44</v>
      </c>
      <c r="E41" s="8">
        <v>1600000</v>
      </c>
      <c r="F41" s="8">
        <v>100000</v>
      </c>
      <c r="G41" s="8">
        <v>0</v>
      </c>
      <c r="H41" s="8">
        <f>F41-K41</f>
        <v>100000</v>
      </c>
      <c r="I41" s="8">
        <v>0</v>
      </c>
      <c r="J41" s="9" t="s">
        <v>21</v>
      </c>
      <c r="K41" s="10">
        <v>0</v>
      </c>
      <c r="L41" s="129" t="s">
        <v>22</v>
      </c>
    </row>
    <row r="42" spans="1:12" ht="14.25">
      <c r="A42" s="128"/>
      <c r="B42" s="128"/>
      <c r="C42" s="128"/>
      <c r="D42" s="9" t="s">
        <v>23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11" t="s">
        <v>24</v>
      </c>
      <c r="K42" s="9">
        <v>0</v>
      </c>
      <c r="L42" s="129"/>
    </row>
    <row r="43" spans="1:12" ht="14.25">
      <c r="A43" s="128"/>
      <c r="B43" s="128"/>
      <c r="C43" s="128"/>
      <c r="D43" s="9" t="s">
        <v>25</v>
      </c>
      <c r="E43" s="8">
        <f>E41</f>
        <v>1600000</v>
      </c>
      <c r="F43" s="8">
        <f>F41</f>
        <v>100000</v>
      </c>
      <c r="G43" s="8">
        <f>G41</f>
        <v>0</v>
      </c>
      <c r="H43" s="8">
        <f>H41</f>
        <v>100000</v>
      </c>
      <c r="I43" s="8">
        <f>I41</f>
        <v>0</v>
      </c>
      <c r="J43" s="9" t="s">
        <v>24</v>
      </c>
      <c r="K43" s="10">
        <f>K41</f>
        <v>0</v>
      </c>
      <c r="L43" s="129"/>
    </row>
    <row r="44" spans="1:12" ht="57">
      <c r="A44" s="128" t="s">
        <v>45</v>
      </c>
      <c r="B44" s="128">
        <v>720</v>
      </c>
      <c r="C44" s="128">
        <v>72095</v>
      </c>
      <c r="D44" s="7" t="s">
        <v>46</v>
      </c>
      <c r="E44" s="8">
        <f>315086+3416</f>
        <v>318502</v>
      </c>
      <c r="F44" s="8">
        <v>315086</v>
      </c>
      <c r="G44" s="8">
        <v>0</v>
      </c>
      <c r="H44" s="8">
        <f>F44-K44</f>
        <v>60000</v>
      </c>
      <c r="I44" s="8">
        <v>0</v>
      </c>
      <c r="J44" s="9" t="s">
        <v>21</v>
      </c>
      <c r="K44" s="10">
        <v>255086</v>
      </c>
      <c r="L44" s="129" t="s">
        <v>22</v>
      </c>
    </row>
    <row r="45" spans="1:12" ht="14.25">
      <c r="A45" s="128"/>
      <c r="B45" s="128"/>
      <c r="C45" s="128"/>
      <c r="D45" s="9" t="s">
        <v>23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1" t="s">
        <v>24</v>
      </c>
      <c r="K45" s="9">
        <v>0</v>
      </c>
      <c r="L45" s="129"/>
    </row>
    <row r="46" spans="1:12" ht="14.25">
      <c r="A46" s="128"/>
      <c r="B46" s="128"/>
      <c r="C46" s="128"/>
      <c r="D46" s="9" t="s">
        <v>25</v>
      </c>
      <c r="E46" s="8">
        <f>E44</f>
        <v>318502</v>
      </c>
      <c r="F46" s="8">
        <f>F44</f>
        <v>315086</v>
      </c>
      <c r="G46" s="8">
        <f>G44</f>
        <v>0</v>
      </c>
      <c r="H46" s="8">
        <f>H44</f>
        <v>60000</v>
      </c>
      <c r="I46" s="8">
        <f>I44</f>
        <v>0</v>
      </c>
      <c r="J46" s="9" t="s">
        <v>24</v>
      </c>
      <c r="K46" s="10">
        <f>K44</f>
        <v>255086</v>
      </c>
      <c r="L46" s="129"/>
    </row>
    <row r="47" spans="1:12" ht="85.5">
      <c r="A47" s="128">
        <f>11+1</f>
        <v>12</v>
      </c>
      <c r="B47" s="128">
        <v>720</v>
      </c>
      <c r="C47" s="128">
        <v>72095</v>
      </c>
      <c r="D47" s="7" t="s">
        <v>66</v>
      </c>
      <c r="E47" s="8">
        <f>85000-19900</f>
        <v>65100</v>
      </c>
      <c r="F47" s="8">
        <f>85000-19900</f>
        <v>65100</v>
      </c>
      <c r="G47" s="8">
        <f>19900-19900</f>
        <v>0</v>
      </c>
      <c r="H47" s="8">
        <v>0</v>
      </c>
      <c r="I47" s="8">
        <v>0</v>
      </c>
      <c r="J47" s="9" t="s">
        <v>21</v>
      </c>
      <c r="K47" s="10">
        <v>65100</v>
      </c>
      <c r="L47" s="129" t="s">
        <v>22</v>
      </c>
    </row>
    <row r="48" spans="1:12" ht="14.25">
      <c r="A48" s="128"/>
      <c r="B48" s="128"/>
      <c r="C48" s="128"/>
      <c r="D48" s="9" t="s">
        <v>23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1" t="s">
        <v>24</v>
      </c>
      <c r="K48" s="10">
        <v>0</v>
      </c>
      <c r="L48" s="129"/>
    </row>
    <row r="49" spans="1:12" ht="14.25">
      <c r="A49" s="128"/>
      <c r="B49" s="128"/>
      <c r="C49" s="128"/>
      <c r="D49" s="9" t="s">
        <v>25</v>
      </c>
      <c r="E49" s="8">
        <f>E47</f>
        <v>65100</v>
      </c>
      <c r="F49" s="8">
        <f>F47</f>
        <v>65100</v>
      </c>
      <c r="G49" s="8">
        <f>G47</f>
        <v>0</v>
      </c>
      <c r="H49" s="8">
        <f>H47</f>
        <v>0</v>
      </c>
      <c r="I49" s="8">
        <f>I47</f>
        <v>0</v>
      </c>
      <c r="J49" s="9" t="s">
        <v>24</v>
      </c>
      <c r="K49" s="10">
        <v>65100</v>
      </c>
      <c r="L49" s="129"/>
    </row>
    <row r="50" spans="1:12" ht="57">
      <c r="A50" s="128">
        <v>13</v>
      </c>
      <c r="B50" s="128">
        <v>757</v>
      </c>
      <c r="C50" s="128">
        <v>75702</v>
      </c>
      <c r="D50" s="9" t="s">
        <v>47</v>
      </c>
      <c r="E50" s="8">
        <f>7988455+62090</f>
        <v>8050545</v>
      </c>
      <c r="F50" s="8">
        <f>1000000+8455+62090</f>
        <v>1070545</v>
      </c>
      <c r="G50" s="8">
        <f>F50</f>
        <v>1070545</v>
      </c>
      <c r="H50" s="8">
        <v>0</v>
      </c>
      <c r="I50" s="8">
        <v>0</v>
      </c>
      <c r="J50" s="9" t="s">
        <v>21</v>
      </c>
      <c r="K50" s="10">
        <v>0</v>
      </c>
      <c r="L50" s="129" t="s">
        <v>22</v>
      </c>
    </row>
    <row r="51" spans="1:12" ht="14.25">
      <c r="A51" s="128"/>
      <c r="B51" s="128"/>
      <c r="C51" s="128"/>
      <c r="D51" s="9" t="s">
        <v>23</v>
      </c>
      <c r="E51" s="8">
        <f>E50</f>
        <v>8050545</v>
      </c>
      <c r="F51" s="8">
        <f>F50</f>
        <v>1070545</v>
      </c>
      <c r="G51" s="8">
        <f>G50</f>
        <v>1070545</v>
      </c>
      <c r="H51" s="8">
        <v>0</v>
      </c>
      <c r="I51" s="8">
        <v>0</v>
      </c>
      <c r="J51" s="11" t="s">
        <v>24</v>
      </c>
      <c r="K51" s="10">
        <v>0</v>
      </c>
      <c r="L51" s="129"/>
    </row>
    <row r="52" spans="1:12" ht="14.25">
      <c r="A52" s="128"/>
      <c r="B52" s="128"/>
      <c r="C52" s="128"/>
      <c r="D52" s="9" t="s">
        <v>25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9" t="s">
        <v>24</v>
      </c>
      <c r="K52" s="10">
        <v>0</v>
      </c>
      <c r="L52" s="129"/>
    </row>
    <row r="53" spans="1:12" ht="57">
      <c r="A53" s="128">
        <v>14</v>
      </c>
      <c r="B53" s="125">
        <v>757</v>
      </c>
      <c r="C53" s="125">
        <v>75704</v>
      </c>
      <c r="D53" s="9" t="s">
        <v>48</v>
      </c>
      <c r="E53" s="8">
        <f>121545-8455-13090</f>
        <v>100000</v>
      </c>
      <c r="F53" s="8">
        <f>31545-8455-13090</f>
        <v>10000</v>
      </c>
      <c r="G53" s="8">
        <f>F53</f>
        <v>10000</v>
      </c>
      <c r="H53" s="8">
        <f>H54</f>
        <v>0</v>
      </c>
      <c r="I53" s="8">
        <f>I54</f>
        <v>0</v>
      </c>
      <c r="J53" s="9" t="s">
        <v>21</v>
      </c>
      <c r="K53" s="10">
        <v>0</v>
      </c>
      <c r="L53" s="129" t="s">
        <v>22</v>
      </c>
    </row>
    <row r="54" spans="1:12" ht="18" customHeight="1">
      <c r="A54" s="128"/>
      <c r="B54" s="126"/>
      <c r="C54" s="126"/>
      <c r="D54" s="9" t="s">
        <v>23</v>
      </c>
      <c r="E54" s="8">
        <f>E53</f>
        <v>100000</v>
      </c>
      <c r="F54" s="8">
        <f>F53</f>
        <v>10000</v>
      </c>
      <c r="G54" s="8">
        <f>F54</f>
        <v>10000</v>
      </c>
      <c r="H54" s="8">
        <v>0</v>
      </c>
      <c r="I54" s="8">
        <v>0</v>
      </c>
      <c r="J54" s="11">
        <v>0</v>
      </c>
      <c r="K54" s="10">
        <v>0</v>
      </c>
      <c r="L54" s="129"/>
    </row>
    <row r="55" spans="1:12" ht="18.75" customHeight="1">
      <c r="A55" s="128"/>
      <c r="B55" s="127"/>
      <c r="C55" s="127"/>
      <c r="D55" s="9" t="s">
        <v>25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9">
        <v>0</v>
      </c>
      <c r="K55" s="10">
        <v>0</v>
      </c>
      <c r="L55" s="129"/>
    </row>
    <row r="56" spans="1:12" ht="59.25" customHeight="1">
      <c r="A56" s="128">
        <v>15</v>
      </c>
      <c r="B56" s="128">
        <v>801</v>
      </c>
      <c r="C56" s="128"/>
      <c r="D56" s="9" t="s">
        <v>49</v>
      </c>
      <c r="E56" s="8">
        <f>8500000+173602+70000</f>
        <v>8743602</v>
      </c>
      <c r="F56" s="8">
        <f>2000000+173602+70000</f>
        <v>2243602</v>
      </c>
      <c r="G56" s="8">
        <f>F56</f>
        <v>2243602</v>
      </c>
      <c r="H56" s="8">
        <v>0</v>
      </c>
      <c r="I56" s="8">
        <v>0</v>
      </c>
      <c r="J56" s="9" t="s">
        <v>21</v>
      </c>
      <c r="K56" s="10">
        <v>0</v>
      </c>
      <c r="L56" s="128" t="s">
        <v>50</v>
      </c>
    </row>
    <row r="57" spans="1:12" ht="14.25">
      <c r="A57" s="128"/>
      <c r="B57" s="128"/>
      <c r="C57" s="128"/>
      <c r="D57" s="9" t="s">
        <v>23</v>
      </c>
      <c r="E57" s="8">
        <f>E56</f>
        <v>8743602</v>
      </c>
      <c r="F57" s="8">
        <f>F56</f>
        <v>2243602</v>
      </c>
      <c r="G57" s="8">
        <f>G56</f>
        <v>2243602</v>
      </c>
      <c r="H57" s="8">
        <v>0</v>
      </c>
      <c r="I57" s="8">
        <v>0</v>
      </c>
      <c r="J57" s="11" t="s">
        <v>24</v>
      </c>
      <c r="K57" s="10">
        <v>0</v>
      </c>
      <c r="L57" s="128"/>
    </row>
    <row r="58" spans="1:12" ht="14.25">
      <c r="A58" s="128"/>
      <c r="B58" s="128"/>
      <c r="C58" s="128"/>
      <c r="D58" s="9" t="s">
        <v>25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9" t="s">
        <v>24</v>
      </c>
      <c r="K58" s="10">
        <v>0</v>
      </c>
      <c r="L58" s="128"/>
    </row>
    <row r="59" spans="1:14" ht="57">
      <c r="A59" s="128">
        <v>16</v>
      </c>
      <c r="B59" s="125">
        <v>852</v>
      </c>
      <c r="C59" s="125">
        <v>85219</v>
      </c>
      <c r="D59" s="9" t="s">
        <v>51</v>
      </c>
      <c r="E59" s="8">
        <v>342294</v>
      </c>
      <c r="F59" s="8">
        <v>79154</v>
      </c>
      <c r="G59" s="8">
        <v>79154</v>
      </c>
      <c r="H59" s="8">
        <v>0</v>
      </c>
      <c r="I59" s="8">
        <v>0</v>
      </c>
      <c r="J59" s="9" t="s">
        <v>21</v>
      </c>
      <c r="K59" s="10">
        <v>0</v>
      </c>
      <c r="L59" s="125" t="s">
        <v>52</v>
      </c>
      <c r="N59" s="13"/>
    </row>
    <row r="60" spans="1:12" ht="14.25">
      <c r="A60" s="128"/>
      <c r="B60" s="126"/>
      <c r="C60" s="126"/>
      <c r="D60" s="9" t="s">
        <v>23</v>
      </c>
      <c r="E60" s="8">
        <v>342294</v>
      </c>
      <c r="F60" s="8">
        <v>79154</v>
      </c>
      <c r="G60" s="8">
        <v>79154</v>
      </c>
      <c r="H60" s="8">
        <v>0</v>
      </c>
      <c r="I60" s="8">
        <v>0</v>
      </c>
      <c r="J60" s="9">
        <v>0</v>
      </c>
      <c r="K60" s="10">
        <v>0</v>
      </c>
      <c r="L60" s="126"/>
    </row>
    <row r="61" spans="1:12" ht="14.25">
      <c r="A61" s="128"/>
      <c r="B61" s="127"/>
      <c r="C61" s="127"/>
      <c r="D61" s="9" t="s">
        <v>25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9">
        <v>0</v>
      </c>
      <c r="K61" s="10">
        <v>0</v>
      </c>
      <c r="L61" s="127"/>
    </row>
    <row r="62" spans="1:12" ht="99.75">
      <c r="A62" s="125">
        <v>17</v>
      </c>
      <c r="B62" s="125">
        <v>853</v>
      </c>
      <c r="C62" s="125">
        <v>85395</v>
      </c>
      <c r="D62" s="9" t="s">
        <v>53</v>
      </c>
      <c r="E62" s="8">
        <f>E64+E63</f>
        <v>165981</v>
      </c>
      <c r="F62" s="8">
        <f>5!I78</f>
        <v>102985</v>
      </c>
      <c r="G62" s="8">
        <v>0</v>
      </c>
      <c r="H62" s="8">
        <v>0</v>
      </c>
      <c r="I62" s="8">
        <f>H62</f>
        <v>0</v>
      </c>
      <c r="J62" s="9" t="s">
        <v>54</v>
      </c>
      <c r="K62" s="10">
        <f>5!I82</f>
        <v>87480</v>
      </c>
      <c r="L62" s="125" t="s">
        <v>55</v>
      </c>
    </row>
    <row r="63" spans="1:12" ht="99.75">
      <c r="A63" s="126"/>
      <c r="B63" s="126"/>
      <c r="C63" s="126"/>
      <c r="D63" s="9" t="s">
        <v>23</v>
      </c>
      <c r="E63" s="8">
        <v>152581</v>
      </c>
      <c r="F63" s="8">
        <f>F62</f>
        <v>102985</v>
      </c>
      <c r="G63" s="8">
        <f>G62</f>
        <v>0</v>
      </c>
      <c r="H63" s="8">
        <f>H62</f>
        <v>0</v>
      </c>
      <c r="I63" s="8">
        <f>I62</f>
        <v>0</v>
      </c>
      <c r="J63" s="9" t="s">
        <v>54</v>
      </c>
      <c r="K63" s="8">
        <f>K62</f>
        <v>87480</v>
      </c>
      <c r="L63" s="127"/>
    </row>
    <row r="64" spans="1:12" ht="14.25">
      <c r="A64" s="127"/>
      <c r="B64" s="127"/>
      <c r="C64" s="127"/>
      <c r="D64" s="9" t="s">
        <v>25</v>
      </c>
      <c r="E64" s="8">
        <v>13400</v>
      </c>
      <c r="F64" s="8">
        <v>0</v>
      </c>
      <c r="G64" s="8">
        <v>0</v>
      </c>
      <c r="H64" s="8">
        <v>0</v>
      </c>
      <c r="I64" s="8">
        <v>0</v>
      </c>
      <c r="J64" s="9" t="s">
        <v>42</v>
      </c>
      <c r="K64" s="10">
        <v>0</v>
      </c>
      <c r="L64" s="12"/>
    </row>
    <row r="65" spans="1:12" ht="57">
      <c r="A65" s="125">
        <v>18</v>
      </c>
      <c r="B65" s="125">
        <v>853</v>
      </c>
      <c r="C65" s="125">
        <v>85395</v>
      </c>
      <c r="D65" s="9" t="s">
        <v>141</v>
      </c>
      <c r="E65" s="8">
        <v>346733</v>
      </c>
      <c r="F65" s="8">
        <v>229083</v>
      </c>
      <c r="G65" s="8">
        <v>0</v>
      </c>
      <c r="H65" s="8">
        <v>0</v>
      </c>
      <c r="I65" s="8">
        <f>H65</f>
        <v>0</v>
      </c>
      <c r="J65" s="9" t="s">
        <v>140</v>
      </c>
      <c r="K65" s="10">
        <v>229083</v>
      </c>
      <c r="L65" s="129" t="s">
        <v>22</v>
      </c>
    </row>
    <row r="66" spans="1:12" ht="14.25">
      <c r="A66" s="126"/>
      <c r="B66" s="126"/>
      <c r="C66" s="126"/>
      <c r="D66" s="9" t="s">
        <v>23</v>
      </c>
      <c r="E66" s="8">
        <v>346733</v>
      </c>
      <c r="F66" s="8">
        <f>F65</f>
        <v>229083</v>
      </c>
      <c r="G66" s="8">
        <f>G65</f>
        <v>0</v>
      </c>
      <c r="H66" s="8">
        <f>H65</f>
        <v>0</v>
      </c>
      <c r="I66" s="8">
        <f>I65</f>
        <v>0</v>
      </c>
      <c r="J66" s="9">
        <v>0</v>
      </c>
      <c r="K66" s="8">
        <f>K65</f>
        <v>229083</v>
      </c>
      <c r="L66" s="129"/>
    </row>
    <row r="67" spans="1:12" ht="14.25">
      <c r="A67" s="127"/>
      <c r="B67" s="127"/>
      <c r="C67" s="127"/>
      <c r="D67" s="9" t="s">
        <v>25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9" t="s">
        <v>42</v>
      </c>
      <c r="K67" s="10">
        <v>0</v>
      </c>
      <c r="L67" s="129"/>
    </row>
    <row r="68" spans="1:12" ht="57">
      <c r="A68" s="128">
        <v>19</v>
      </c>
      <c r="B68" s="128">
        <v>900</v>
      </c>
      <c r="C68" s="128">
        <v>90015</v>
      </c>
      <c r="D68" s="9" t="s">
        <v>56</v>
      </c>
      <c r="E68" s="8">
        <v>295000</v>
      </c>
      <c r="F68" s="8">
        <v>129000</v>
      </c>
      <c r="G68" s="8">
        <v>129000</v>
      </c>
      <c r="H68" s="8">
        <v>0</v>
      </c>
      <c r="I68" s="8">
        <v>0</v>
      </c>
      <c r="J68" s="9" t="s">
        <v>21</v>
      </c>
      <c r="K68" s="10">
        <v>0</v>
      </c>
      <c r="L68" s="129" t="s">
        <v>22</v>
      </c>
    </row>
    <row r="69" spans="1:12" ht="14.25">
      <c r="A69" s="128"/>
      <c r="B69" s="128"/>
      <c r="C69" s="128"/>
      <c r="D69" s="9" t="s">
        <v>23</v>
      </c>
      <c r="E69" s="8">
        <f>E68</f>
        <v>295000</v>
      </c>
      <c r="F69" s="8">
        <f>F68</f>
        <v>129000</v>
      </c>
      <c r="G69" s="8">
        <f>G68</f>
        <v>129000</v>
      </c>
      <c r="H69" s="8">
        <v>0</v>
      </c>
      <c r="I69" s="8">
        <v>0</v>
      </c>
      <c r="J69" s="11" t="s">
        <v>24</v>
      </c>
      <c r="K69" s="10">
        <v>0</v>
      </c>
      <c r="L69" s="129"/>
    </row>
    <row r="70" spans="1:12" ht="14.25">
      <c r="A70" s="128"/>
      <c r="B70" s="128"/>
      <c r="C70" s="128"/>
      <c r="D70" s="9" t="s">
        <v>25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9" t="s">
        <v>24</v>
      </c>
      <c r="K70" s="10">
        <v>0</v>
      </c>
      <c r="L70" s="129"/>
    </row>
    <row r="71" spans="1:12" ht="128.25">
      <c r="A71" s="125">
        <v>20</v>
      </c>
      <c r="B71" s="125">
        <v>900</v>
      </c>
      <c r="C71" s="125">
        <v>90019</v>
      </c>
      <c r="D71" s="9" t="s">
        <v>57</v>
      </c>
      <c r="E71" s="8">
        <v>12699908</v>
      </c>
      <c r="F71" s="8">
        <f>G71+K71</f>
        <v>2197119</v>
      </c>
      <c r="G71" s="8">
        <v>561503</v>
      </c>
      <c r="H71" s="8">
        <v>0</v>
      </c>
      <c r="I71" s="8">
        <v>0</v>
      </c>
      <c r="J71" s="9" t="s">
        <v>21</v>
      </c>
      <c r="K71" s="10">
        <v>1635616</v>
      </c>
      <c r="L71" s="129" t="s">
        <v>22</v>
      </c>
    </row>
    <row r="72" spans="1:12" ht="14.25">
      <c r="A72" s="126"/>
      <c r="B72" s="126"/>
      <c r="C72" s="126"/>
      <c r="D72" s="9" t="s">
        <v>23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1" t="s">
        <v>24</v>
      </c>
      <c r="K72" s="10"/>
      <c r="L72" s="129"/>
    </row>
    <row r="73" spans="1:12" ht="14.25">
      <c r="A73" s="127"/>
      <c r="B73" s="127"/>
      <c r="C73" s="127"/>
      <c r="D73" s="9" t="s">
        <v>25</v>
      </c>
      <c r="E73" s="8">
        <f>E71</f>
        <v>12699908</v>
      </c>
      <c r="F73" s="8">
        <f>G73+K73</f>
        <v>2197119</v>
      </c>
      <c r="G73" s="8">
        <f>G71</f>
        <v>561503</v>
      </c>
      <c r="H73" s="8">
        <v>0</v>
      </c>
      <c r="I73" s="8">
        <v>0</v>
      </c>
      <c r="J73" s="9" t="s">
        <v>24</v>
      </c>
      <c r="K73" s="10">
        <f>K71</f>
        <v>1635616</v>
      </c>
      <c r="L73" s="129"/>
    </row>
    <row r="74" spans="1:12" ht="57">
      <c r="A74" s="128">
        <v>21</v>
      </c>
      <c r="B74" s="128">
        <v>900</v>
      </c>
      <c r="C74" s="128">
        <v>90095</v>
      </c>
      <c r="D74" s="7" t="s">
        <v>58</v>
      </c>
      <c r="E74" s="8">
        <v>1610980</v>
      </c>
      <c r="F74" s="8">
        <f>100000-10100-35800-18000</f>
        <v>36100</v>
      </c>
      <c r="G74" s="8">
        <v>0</v>
      </c>
      <c r="H74" s="8">
        <f>100000-10100-35800-18000</f>
        <v>36100</v>
      </c>
      <c r="I74" s="8">
        <v>0</v>
      </c>
      <c r="J74" s="9" t="s">
        <v>21</v>
      </c>
      <c r="K74" s="10">
        <v>0</v>
      </c>
      <c r="L74" s="129" t="s">
        <v>22</v>
      </c>
    </row>
    <row r="75" spans="1:12" ht="14.25">
      <c r="A75" s="128"/>
      <c r="B75" s="128"/>
      <c r="C75" s="128"/>
      <c r="D75" s="9" t="s">
        <v>23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11" t="s">
        <v>24</v>
      </c>
      <c r="K75" s="9">
        <v>0</v>
      </c>
      <c r="L75" s="129"/>
    </row>
    <row r="76" spans="1:12" ht="14.25">
      <c r="A76" s="128"/>
      <c r="B76" s="128"/>
      <c r="C76" s="128"/>
      <c r="D76" s="9" t="s">
        <v>25</v>
      </c>
      <c r="E76" s="8">
        <f>E74</f>
        <v>1610980</v>
      </c>
      <c r="F76" s="8">
        <f>F74</f>
        <v>36100</v>
      </c>
      <c r="G76" s="8">
        <f>G74</f>
        <v>0</v>
      </c>
      <c r="H76" s="8">
        <f>H74</f>
        <v>36100</v>
      </c>
      <c r="I76" s="8">
        <f>I74</f>
        <v>0</v>
      </c>
      <c r="J76" s="9" t="s">
        <v>24</v>
      </c>
      <c r="K76" s="10">
        <f>K74</f>
        <v>0</v>
      </c>
      <c r="L76" s="129"/>
    </row>
    <row r="77" spans="1:12" ht="57">
      <c r="A77" s="128">
        <v>22</v>
      </c>
      <c r="B77" s="128">
        <v>900</v>
      </c>
      <c r="C77" s="128">
        <v>90095</v>
      </c>
      <c r="D77" s="7" t="s">
        <v>59</v>
      </c>
      <c r="E77" s="8">
        <v>110000</v>
      </c>
      <c r="F77" s="8">
        <v>10000</v>
      </c>
      <c r="G77" s="8">
        <v>0</v>
      </c>
      <c r="H77" s="8">
        <f>F77-K77</f>
        <v>10000</v>
      </c>
      <c r="I77" s="8">
        <v>0</v>
      </c>
      <c r="J77" s="9" t="s">
        <v>21</v>
      </c>
      <c r="K77" s="10">
        <v>0</v>
      </c>
      <c r="L77" s="129" t="s">
        <v>22</v>
      </c>
    </row>
    <row r="78" spans="1:12" ht="14.25">
      <c r="A78" s="128"/>
      <c r="B78" s="128"/>
      <c r="C78" s="128"/>
      <c r="D78" s="9" t="s">
        <v>23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11" t="s">
        <v>24</v>
      </c>
      <c r="K78" s="9">
        <v>0</v>
      </c>
      <c r="L78" s="129"/>
    </row>
    <row r="79" spans="1:12" ht="14.25">
      <c r="A79" s="128"/>
      <c r="B79" s="128"/>
      <c r="C79" s="128"/>
      <c r="D79" s="9" t="s">
        <v>25</v>
      </c>
      <c r="E79" s="8">
        <f>E77</f>
        <v>110000</v>
      </c>
      <c r="F79" s="8">
        <f>F77</f>
        <v>10000</v>
      </c>
      <c r="G79" s="8">
        <f>G77</f>
        <v>0</v>
      </c>
      <c r="H79" s="8">
        <f>H77</f>
        <v>10000</v>
      </c>
      <c r="I79" s="8">
        <f>I77</f>
        <v>0</v>
      </c>
      <c r="J79" s="9" t="s">
        <v>24</v>
      </c>
      <c r="K79" s="10">
        <f>K77</f>
        <v>0</v>
      </c>
      <c r="L79" s="129"/>
    </row>
    <row r="80" spans="1:12" ht="85.5">
      <c r="A80" s="128">
        <v>23</v>
      </c>
      <c r="B80" s="128">
        <v>921</v>
      </c>
      <c r="C80" s="128">
        <v>92120</v>
      </c>
      <c r="D80" s="7" t="s">
        <v>60</v>
      </c>
      <c r="E80" s="8">
        <f>6677636+18000+15000+100000</f>
        <v>6810636</v>
      </c>
      <c r="F80" s="8">
        <f>3500000+100541+300000+18000+15000+100000</f>
        <v>4033541</v>
      </c>
      <c r="G80" s="8">
        <f>9000+100000</f>
        <v>109000</v>
      </c>
      <c r="H80" s="8">
        <f>F80-K80-G80</f>
        <v>2224000</v>
      </c>
      <c r="I80" s="8">
        <v>0</v>
      </c>
      <c r="J80" s="9" t="s">
        <v>21</v>
      </c>
      <c r="K80" s="10">
        <f>1600000+100541</f>
        <v>1700541</v>
      </c>
      <c r="L80" s="129" t="s">
        <v>22</v>
      </c>
    </row>
    <row r="81" spans="1:12" ht="14.25">
      <c r="A81" s="128"/>
      <c r="B81" s="128"/>
      <c r="C81" s="128"/>
      <c r="D81" s="9" t="s">
        <v>23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11" t="s">
        <v>24</v>
      </c>
      <c r="K81" s="9">
        <v>0</v>
      </c>
      <c r="L81" s="129"/>
    </row>
    <row r="82" spans="1:12" ht="14.25">
      <c r="A82" s="128"/>
      <c r="B82" s="128"/>
      <c r="C82" s="128"/>
      <c r="D82" s="9" t="s">
        <v>25</v>
      </c>
      <c r="E82" s="8">
        <f>E80</f>
        <v>6810636</v>
      </c>
      <c r="F82" s="8">
        <f>F80</f>
        <v>4033541</v>
      </c>
      <c r="G82" s="8">
        <f>G80</f>
        <v>109000</v>
      </c>
      <c r="H82" s="8">
        <f>H80</f>
        <v>2224000</v>
      </c>
      <c r="I82" s="8">
        <f>I80</f>
        <v>0</v>
      </c>
      <c r="J82" s="9" t="s">
        <v>24</v>
      </c>
      <c r="K82" s="10">
        <f>K80</f>
        <v>1700541</v>
      </c>
      <c r="L82" s="129"/>
    </row>
    <row r="83" spans="1:12" ht="83.25" customHeight="1">
      <c r="A83" s="190">
        <v>24</v>
      </c>
      <c r="B83" s="190">
        <v>926</v>
      </c>
      <c r="C83" s="190">
        <v>92601</v>
      </c>
      <c r="D83" s="9" t="s">
        <v>61</v>
      </c>
      <c r="E83" s="8">
        <v>2501000</v>
      </c>
      <c r="F83" s="14">
        <v>762577</v>
      </c>
      <c r="G83" s="8">
        <f>F83</f>
        <v>762577</v>
      </c>
      <c r="H83" s="8">
        <v>0</v>
      </c>
      <c r="I83" s="8">
        <v>0</v>
      </c>
      <c r="J83" s="9" t="s">
        <v>21</v>
      </c>
      <c r="K83" s="10">
        <v>0</v>
      </c>
      <c r="L83" s="32" t="s">
        <v>22</v>
      </c>
    </row>
    <row r="84" spans="1:12" ht="53.25" customHeight="1">
      <c r="A84" s="188"/>
      <c r="B84" s="188"/>
      <c r="C84" s="188"/>
      <c r="D84" s="9" t="s">
        <v>23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1" t="s">
        <v>24</v>
      </c>
      <c r="K84" s="10">
        <v>0</v>
      </c>
      <c r="L84" s="191"/>
    </row>
    <row r="85" spans="1:12" ht="50.25" customHeight="1">
      <c r="A85" s="189"/>
      <c r="B85" s="189"/>
      <c r="C85" s="189"/>
      <c r="D85" s="9" t="s">
        <v>25</v>
      </c>
      <c r="E85" s="8">
        <f>E83</f>
        <v>2501000</v>
      </c>
      <c r="F85" s="8">
        <f>F83</f>
        <v>762577</v>
      </c>
      <c r="G85" s="8">
        <f>G83</f>
        <v>762577</v>
      </c>
      <c r="H85" s="8">
        <f>H83</f>
        <v>0</v>
      </c>
      <c r="I85" s="8">
        <f>I83</f>
        <v>0</v>
      </c>
      <c r="J85" s="9" t="s">
        <v>24</v>
      </c>
      <c r="K85" s="8">
        <f>K83</f>
        <v>0</v>
      </c>
      <c r="L85" s="192"/>
    </row>
    <row r="86" spans="1:12" ht="57">
      <c r="A86" s="128">
        <v>25</v>
      </c>
      <c r="B86" s="128">
        <v>926</v>
      </c>
      <c r="C86" s="128">
        <v>92604</v>
      </c>
      <c r="D86" s="7" t="s">
        <v>62</v>
      </c>
      <c r="E86" s="8">
        <v>7710000</v>
      </c>
      <c r="F86" s="8">
        <v>50000</v>
      </c>
      <c r="G86" s="8">
        <v>0</v>
      </c>
      <c r="H86" s="8">
        <f>F86-K86</f>
        <v>50000</v>
      </c>
      <c r="I86" s="8">
        <v>0</v>
      </c>
      <c r="J86" s="9" t="s">
        <v>21</v>
      </c>
      <c r="K86" s="10">
        <v>0</v>
      </c>
      <c r="L86" s="129" t="s">
        <v>22</v>
      </c>
    </row>
    <row r="87" spans="1:12" ht="14.25">
      <c r="A87" s="128"/>
      <c r="B87" s="128"/>
      <c r="C87" s="128"/>
      <c r="D87" s="9" t="s">
        <v>23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1" t="s">
        <v>24</v>
      </c>
      <c r="K87" s="9">
        <v>0</v>
      </c>
      <c r="L87" s="129"/>
    </row>
    <row r="88" spans="1:12" ht="14.25">
      <c r="A88" s="128"/>
      <c r="B88" s="128"/>
      <c r="C88" s="128"/>
      <c r="D88" s="9" t="s">
        <v>25</v>
      </c>
      <c r="E88" s="8">
        <f>E86</f>
        <v>7710000</v>
      </c>
      <c r="F88" s="8">
        <f>F86</f>
        <v>50000</v>
      </c>
      <c r="G88" s="8">
        <f>G86</f>
        <v>0</v>
      </c>
      <c r="H88" s="8">
        <f>H86</f>
        <v>50000</v>
      </c>
      <c r="I88" s="8">
        <f>I86</f>
        <v>0</v>
      </c>
      <c r="J88" s="9" t="s">
        <v>24</v>
      </c>
      <c r="K88" s="10">
        <f>K86</f>
        <v>0</v>
      </c>
      <c r="L88" s="129"/>
    </row>
    <row r="89" spans="1:12" ht="51">
      <c r="A89" s="118" t="s">
        <v>63</v>
      </c>
      <c r="B89" s="118"/>
      <c r="C89" s="118"/>
      <c r="D89" s="118"/>
      <c r="E89" s="15">
        <f>E14+E17+E20+E23+E26+E29+E32+E41+E44+E74+E77+E80+E86+E83+E35+E56+E68+E59+E62+E53+E71+E65+E47+E50+E38</f>
        <v>67028197</v>
      </c>
      <c r="F89" s="15">
        <f>F14+F17+F20+F23+F26+F29+F32+F41+F44+F74+F77+F80+F86+F83+F35+F50+F56+F68+F59+F38+F62+F53+F71+F65+F47</f>
        <v>18851022</v>
      </c>
      <c r="G89" s="15">
        <f>G14+G17+G20+G23+G26+G29+G32+G41+G44+G74+G77+G80+G86+G83+G35+G50+G56+G68+G59+G38+G62+G53+G71+G47+G65</f>
        <v>6127957</v>
      </c>
      <c r="H89" s="15">
        <f aca="true" t="shared" si="0" ref="G89:I91">H14+H17+H20+H23+H26+H29+H32+H41+H44+H74+H77+H80+H86+H83+H35+H50+H56+H68+H59+H38+H62+H53+H71</f>
        <v>6064654</v>
      </c>
      <c r="I89" s="15">
        <f t="shared" si="0"/>
        <v>0</v>
      </c>
      <c r="J89" s="16" t="s">
        <v>64</v>
      </c>
      <c r="K89" s="15">
        <f>K14+K17+K20+K23+K26+K29+K32+K41+K44+K74+K77+K80+K86+K83+K35+K50+K56+K68+K59+K38+K62+K71+K65+K47</f>
        <v>6942906</v>
      </c>
      <c r="L89" s="17" t="s">
        <v>42</v>
      </c>
    </row>
    <row r="90" spans="1:14" ht="51">
      <c r="A90" s="118" t="s">
        <v>23</v>
      </c>
      <c r="B90" s="118"/>
      <c r="C90" s="118"/>
      <c r="D90" s="118"/>
      <c r="E90" s="15">
        <f>E15+E18+E21+E24+E27+E30+E33+E42+E45+E75+E78+E81+E87+E84+E36+E51+E57+E69+E60+E39+E63+E54+E72+E66</f>
        <v>19969717</v>
      </c>
      <c r="F90" s="15">
        <f>F87+F84+F81+F78+F75+F72+F69+F66+F63+F60+F57+F54+F51+F48+F45+F42+F39+F36+F33+F30+F27+F24+F18+F15</f>
        <v>4614445</v>
      </c>
      <c r="G90" s="15">
        <f t="shared" si="0"/>
        <v>4282377</v>
      </c>
      <c r="H90" s="15">
        <f t="shared" si="0"/>
        <v>0</v>
      </c>
      <c r="I90" s="15">
        <f t="shared" si="0"/>
        <v>0</v>
      </c>
      <c r="J90" s="16" t="s">
        <v>64</v>
      </c>
      <c r="K90" s="15">
        <f>K15+K18+K21+K24+K27+K30+K33+K42+K45+K75+K78+K81+K87+K84+K36+K51+K57+K69+K60+K39+K63+K72+K66</f>
        <v>316563</v>
      </c>
      <c r="L90" s="17" t="s">
        <v>42</v>
      </c>
      <c r="N90" s="13"/>
    </row>
    <row r="91" spans="1:12" ht="51">
      <c r="A91" s="118" t="s">
        <v>25</v>
      </c>
      <c r="B91" s="118"/>
      <c r="C91" s="118"/>
      <c r="D91" s="118"/>
      <c r="E91" s="15">
        <f>E16+E19+E22+E25+E28+E31+E34+E43+E46+E76+E79+E82+E88+E85+E37+E52+E58+E70+E61+E40+E64+E55+E73+E49</f>
        <v>47058480</v>
      </c>
      <c r="F91" s="15">
        <f>F16+F19+F22+F25+F28+F31+F34+F43+F46+F76+F79+F82+F88+F85+F37+F52+F58+F70+F61+F40+F64+F55+F73+F49</f>
        <v>14236577</v>
      </c>
      <c r="G91" s="15">
        <f>G16+G19+G22+G25+G28+G31+G34+G43+G46+G76+G79+G82+G88+G85+G37+G52+G58+G70+G61+G40+G64+G55+G73+G49</f>
        <v>1845580</v>
      </c>
      <c r="H91" s="15">
        <f t="shared" si="0"/>
        <v>6064654</v>
      </c>
      <c r="I91" s="15">
        <f t="shared" si="0"/>
        <v>0</v>
      </c>
      <c r="J91" s="16" t="s">
        <v>65</v>
      </c>
      <c r="K91" s="15">
        <f>K16+K19+K22+K25+K28+K31+K34+K43+K46+K76+K79+K82+K88+K85+K37+K52+K58+K70+K61+K40+K64+K73+K49</f>
        <v>6626343</v>
      </c>
      <c r="L91" s="17" t="s">
        <v>42</v>
      </c>
    </row>
    <row r="92" spans="5:11" ht="14.25">
      <c r="E92" s="13"/>
      <c r="F92" s="13"/>
      <c r="G92" s="13"/>
      <c r="H92" s="13"/>
      <c r="I92" s="13"/>
      <c r="J92" s="13"/>
      <c r="K92" s="13"/>
    </row>
    <row r="93" spans="5:11" ht="14.25">
      <c r="E93" s="13"/>
      <c r="F93" s="13"/>
      <c r="G93" s="13"/>
      <c r="H93" s="13"/>
      <c r="I93" s="13"/>
      <c r="J93" s="13"/>
      <c r="K93" s="13"/>
    </row>
    <row r="94" ht="14.25">
      <c r="E94" s="13"/>
    </row>
    <row r="95" spans="5:11" ht="14.25">
      <c r="E95" s="13"/>
      <c r="F95" s="13"/>
      <c r="G95" s="13"/>
      <c r="H95" s="13"/>
      <c r="I95" s="13"/>
      <c r="J95" s="13"/>
      <c r="K95" s="13"/>
    </row>
    <row r="96" spans="5:11" ht="14.25">
      <c r="E96" s="13"/>
      <c r="F96" s="13"/>
      <c r="G96" s="13"/>
      <c r="H96" s="13"/>
      <c r="I96" s="13"/>
      <c r="J96" s="13"/>
      <c r="K96" s="13"/>
    </row>
    <row r="97" ht="14.25">
      <c r="E97" s="13"/>
    </row>
    <row r="98" spans="5:11" ht="14.25">
      <c r="E98" s="13"/>
      <c r="F98" s="13"/>
      <c r="G98" s="13"/>
      <c r="H98" s="13"/>
      <c r="I98" s="13"/>
      <c r="J98" s="13"/>
      <c r="K98" s="13"/>
    </row>
    <row r="99" ht="14.25">
      <c r="H99" s="13"/>
    </row>
    <row r="100" ht="14.25">
      <c r="H100" s="13"/>
    </row>
    <row r="101" ht="14.25">
      <c r="F101" s="13"/>
    </row>
  </sheetData>
  <sheetProtection/>
  <mergeCells count="115">
    <mergeCell ref="L86:L88"/>
    <mergeCell ref="A89:D89"/>
    <mergeCell ref="A90:D90"/>
    <mergeCell ref="A80:A82"/>
    <mergeCell ref="B80:B82"/>
    <mergeCell ref="C80:C82"/>
    <mergeCell ref="L80:L82"/>
    <mergeCell ref="A91:D91"/>
    <mergeCell ref="A86:A88"/>
    <mergeCell ref="B86:B88"/>
    <mergeCell ref="C86:C88"/>
    <mergeCell ref="A77:A79"/>
    <mergeCell ref="B77:B79"/>
    <mergeCell ref="C77:C79"/>
    <mergeCell ref="L77:L79"/>
    <mergeCell ref="L71:L73"/>
    <mergeCell ref="A68:A70"/>
    <mergeCell ref="B71:B73"/>
    <mergeCell ref="C71:C73"/>
    <mergeCell ref="B68:B70"/>
    <mergeCell ref="C68:C70"/>
    <mergeCell ref="L68:L70"/>
    <mergeCell ref="A71:A73"/>
    <mergeCell ref="A74:A76"/>
    <mergeCell ref="B74:B76"/>
    <mergeCell ref="C74:C76"/>
    <mergeCell ref="L74:L76"/>
    <mergeCell ref="L59:L61"/>
    <mergeCell ref="A53:A55"/>
    <mergeCell ref="B53:B55"/>
    <mergeCell ref="C53:C55"/>
    <mergeCell ref="L53:L55"/>
    <mergeCell ref="A56:A58"/>
    <mergeCell ref="B56:B58"/>
    <mergeCell ref="C56:C58"/>
    <mergeCell ref="L56:L58"/>
    <mergeCell ref="A59:A61"/>
    <mergeCell ref="A41:A43"/>
    <mergeCell ref="B41:B43"/>
    <mergeCell ref="C41:C43"/>
    <mergeCell ref="L41:L43"/>
    <mergeCell ref="A38:A40"/>
    <mergeCell ref="B38:B40"/>
    <mergeCell ref="C38:C40"/>
    <mergeCell ref="L38:L40"/>
    <mergeCell ref="A44:A46"/>
    <mergeCell ref="B44:B46"/>
    <mergeCell ref="C44:C46"/>
    <mergeCell ref="L44:L46"/>
    <mergeCell ref="A29:A31"/>
    <mergeCell ref="B29:B31"/>
    <mergeCell ref="C29:C31"/>
    <mergeCell ref="L29:L31"/>
    <mergeCell ref="A26:A28"/>
    <mergeCell ref="B26:B28"/>
    <mergeCell ref="C26:C28"/>
    <mergeCell ref="L26:L28"/>
    <mergeCell ref="A35:A37"/>
    <mergeCell ref="B35:B37"/>
    <mergeCell ref="C35:C37"/>
    <mergeCell ref="L35:L37"/>
    <mergeCell ref="A32:A34"/>
    <mergeCell ref="B32:B34"/>
    <mergeCell ref="C32:C34"/>
    <mergeCell ref="L32:L34"/>
    <mergeCell ref="A17:A19"/>
    <mergeCell ref="B17:B19"/>
    <mergeCell ref="C17:C19"/>
    <mergeCell ref="L17:L19"/>
    <mergeCell ref="A14:A16"/>
    <mergeCell ref="B14:B16"/>
    <mergeCell ref="C14:C16"/>
    <mergeCell ref="L14:L16"/>
    <mergeCell ref="A23:A25"/>
    <mergeCell ref="B23:B25"/>
    <mergeCell ref="C23:C25"/>
    <mergeCell ref="L23:L25"/>
    <mergeCell ref="A20:A22"/>
    <mergeCell ref="B20:B22"/>
    <mergeCell ref="C20:C22"/>
    <mergeCell ref="L20:L22"/>
    <mergeCell ref="I1:L3"/>
    <mergeCell ref="A5:L5"/>
    <mergeCell ref="A7:A12"/>
    <mergeCell ref="B7:B12"/>
    <mergeCell ref="C7:C12"/>
    <mergeCell ref="D7:D12"/>
    <mergeCell ref="E7:E12"/>
    <mergeCell ref="F7:K7"/>
    <mergeCell ref="L7:L12"/>
    <mergeCell ref="F8:F12"/>
    <mergeCell ref="G8:K8"/>
    <mergeCell ref="G9:G12"/>
    <mergeCell ref="H9:H12"/>
    <mergeCell ref="J9:J12"/>
    <mergeCell ref="K9:K12"/>
    <mergeCell ref="I10:I12"/>
    <mergeCell ref="L47:L49"/>
    <mergeCell ref="L65:L67"/>
    <mergeCell ref="A62:A64"/>
    <mergeCell ref="B62:B64"/>
    <mergeCell ref="C62:C64"/>
    <mergeCell ref="L62:L63"/>
    <mergeCell ref="A50:A52"/>
    <mergeCell ref="B50:B52"/>
    <mergeCell ref="C50:C52"/>
    <mergeCell ref="L50:L52"/>
    <mergeCell ref="A65:A67"/>
    <mergeCell ref="B65:B67"/>
    <mergeCell ref="C65:C67"/>
    <mergeCell ref="C47:C49"/>
    <mergeCell ref="A47:A49"/>
    <mergeCell ref="B47:B49"/>
    <mergeCell ref="C59:C61"/>
    <mergeCell ref="B59:B6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I1" sqref="I1:K3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7.7109375" style="1" customWidth="1"/>
    <col min="4" max="4" width="23.57421875" style="1" customWidth="1"/>
    <col min="5" max="5" width="12.7109375" style="1" customWidth="1"/>
    <col min="6" max="8" width="10.140625" style="1" customWidth="1"/>
    <col min="9" max="10" width="13.140625" style="1" customWidth="1"/>
    <col min="11" max="11" width="16.7109375" style="1" customWidth="1"/>
    <col min="12" max="16384" width="9.140625" style="1" customWidth="1"/>
  </cols>
  <sheetData>
    <row r="1" spans="9:11" ht="14.25">
      <c r="I1" s="119" t="s">
        <v>191</v>
      </c>
      <c r="J1" s="119"/>
      <c r="K1" s="119"/>
    </row>
    <row r="2" spans="9:11" ht="14.25">
      <c r="I2" s="119"/>
      <c r="J2" s="119"/>
      <c r="K2" s="119"/>
    </row>
    <row r="3" spans="9:11" ht="39.75" customHeight="1">
      <c r="I3" s="119"/>
      <c r="J3" s="119"/>
      <c r="K3" s="119"/>
    </row>
    <row r="4" spans="1:11" ht="18">
      <c r="A4" s="121" t="s">
        <v>142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 t="s">
        <v>1</v>
      </c>
    </row>
    <row r="6" spans="1:11" s="4" customFormat="1" ht="19.5" customHeight="1">
      <c r="A6" s="136" t="s">
        <v>2</v>
      </c>
      <c r="B6" s="136" t="s">
        <v>3</v>
      </c>
      <c r="C6" s="136" t="s">
        <v>4</v>
      </c>
      <c r="D6" s="137" t="s">
        <v>143</v>
      </c>
      <c r="E6" s="137" t="s">
        <v>7</v>
      </c>
      <c r="F6" s="137"/>
      <c r="G6" s="137"/>
      <c r="H6" s="137"/>
      <c r="I6" s="137"/>
      <c r="J6" s="137"/>
      <c r="K6" s="137" t="s">
        <v>8</v>
      </c>
    </row>
    <row r="7" spans="1:11" s="4" customFormat="1" ht="19.5" customHeight="1">
      <c r="A7" s="136"/>
      <c r="B7" s="136"/>
      <c r="C7" s="136"/>
      <c r="D7" s="137"/>
      <c r="E7" s="137" t="s">
        <v>144</v>
      </c>
      <c r="F7" s="137" t="s">
        <v>10</v>
      </c>
      <c r="G7" s="137"/>
      <c r="H7" s="137"/>
      <c r="I7" s="137"/>
      <c r="J7" s="137"/>
      <c r="K7" s="137"/>
    </row>
    <row r="8" spans="1:11" s="4" customFormat="1" ht="19.5" customHeight="1">
      <c r="A8" s="136"/>
      <c r="B8" s="136"/>
      <c r="C8" s="136"/>
      <c r="D8" s="137"/>
      <c r="E8" s="137"/>
      <c r="F8" s="138" t="s">
        <v>11</v>
      </c>
      <c r="G8" s="141" t="s">
        <v>12</v>
      </c>
      <c r="H8" s="107" t="s">
        <v>13</v>
      </c>
      <c r="I8" s="138" t="s">
        <v>145</v>
      </c>
      <c r="J8" s="141" t="s">
        <v>15</v>
      </c>
      <c r="K8" s="137"/>
    </row>
    <row r="9" spans="1:11" s="4" customFormat="1" ht="29.25" customHeight="1">
      <c r="A9" s="136"/>
      <c r="B9" s="136"/>
      <c r="C9" s="136"/>
      <c r="D9" s="137"/>
      <c r="E9" s="137"/>
      <c r="F9" s="139"/>
      <c r="G9" s="139"/>
      <c r="H9" s="137" t="s">
        <v>16</v>
      </c>
      <c r="I9" s="139"/>
      <c r="J9" s="139"/>
      <c r="K9" s="137"/>
    </row>
    <row r="10" spans="1:11" s="4" customFormat="1" ht="19.5" customHeight="1">
      <c r="A10" s="136"/>
      <c r="B10" s="136"/>
      <c r="C10" s="136"/>
      <c r="D10" s="137"/>
      <c r="E10" s="137"/>
      <c r="F10" s="139"/>
      <c r="G10" s="139"/>
      <c r="H10" s="137"/>
      <c r="I10" s="139"/>
      <c r="J10" s="139"/>
      <c r="K10" s="137"/>
    </row>
    <row r="11" spans="1:11" s="4" customFormat="1" ht="44.25" customHeight="1">
      <c r="A11" s="136"/>
      <c r="B11" s="136"/>
      <c r="C11" s="136"/>
      <c r="D11" s="137"/>
      <c r="E11" s="137"/>
      <c r="F11" s="140"/>
      <c r="G11" s="140"/>
      <c r="H11" s="137"/>
      <c r="I11" s="140"/>
      <c r="J11" s="140"/>
      <c r="K11" s="137"/>
    </row>
    <row r="12" spans="1:11" ht="7.5" customHeight="1">
      <c r="A12" s="101">
        <v>1</v>
      </c>
      <c r="B12" s="10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101"/>
      <c r="I12" s="101">
        <v>8</v>
      </c>
      <c r="J12" s="101">
        <v>9</v>
      </c>
      <c r="K12" s="101">
        <v>11</v>
      </c>
    </row>
    <row r="13" spans="1:11" ht="59.25" customHeight="1">
      <c r="A13" s="101">
        <v>1</v>
      </c>
      <c r="B13" s="101">
        <v>600</v>
      </c>
      <c r="C13" s="101">
        <v>60016</v>
      </c>
      <c r="D13" s="94" t="s">
        <v>146</v>
      </c>
      <c r="E13" s="108">
        <f>G13</f>
        <v>74000</v>
      </c>
      <c r="F13" s="108">
        <v>0</v>
      </c>
      <c r="G13" s="108">
        <f>80000-6000</f>
        <v>74000</v>
      </c>
      <c r="H13" s="109">
        <v>0</v>
      </c>
      <c r="I13" s="110" t="s">
        <v>21</v>
      </c>
      <c r="J13" s="109">
        <v>0</v>
      </c>
      <c r="K13" s="106" t="s">
        <v>22</v>
      </c>
    </row>
    <row r="14" spans="1:11" ht="59.25" customHeight="1">
      <c r="A14" s="101">
        <v>2</v>
      </c>
      <c r="B14" s="101">
        <v>600</v>
      </c>
      <c r="C14" s="101">
        <v>60016</v>
      </c>
      <c r="D14" s="94" t="s">
        <v>147</v>
      </c>
      <c r="E14" s="108">
        <v>35800</v>
      </c>
      <c r="F14" s="108">
        <v>0</v>
      </c>
      <c r="G14" s="108">
        <v>35800</v>
      </c>
      <c r="H14" s="109">
        <v>0</v>
      </c>
      <c r="I14" s="110" t="s">
        <v>21</v>
      </c>
      <c r="J14" s="109">
        <v>0</v>
      </c>
      <c r="K14" s="106" t="s">
        <v>22</v>
      </c>
    </row>
    <row r="15" spans="1:11" ht="60.75" customHeight="1">
      <c r="A15" s="101">
        <v>3</v>
      </c>
      <c r="B15" s="101">
        <v>600</v>
      </c>
      <c r="C15" s="101">
        <v>60016</v>
      </c>
      <c r="D15" s="94" t="s">
        <v>148</v>
      </c>
      <c r="E15" s="108">
        <v>99000</v>
      </c>
      <c r="F15" s="108">
        <v>99000</v>
      </c>
      <c r="G15" s="108">
        <v>0</v>
      </c>
      <c r="H15" s="109">
        <v>0</v>
      </c>
      <c r="I15" s="110" t="s">
        <v>21</v>
      </c>
      <c r="J15" s="109">
        <v>0</v>
      </c>
      <c r="K15" s="106" t="s">
        <v>22</v>
      </c>
    </row>
    <row r="16" spans="1:11" s="91" customFormat="1" ht="51.75" customHeight="1">
      <c r="A16" s="142" t="s">
        <v>149</v>
      </c>
      <c r="B16" s="143"/>
      <c r="C16" s="143"/>
      <c r="D16" s="144"/>
      <c r="E16" s="95">
        <f>E13+E14+E15</f>
        <v>208800</v>
      </c>
      <c r="F16" s="95">
        <f>F13+F15</f>
        <v>99000</v>
      </c>
      <c r="G16" s="95">
        <f>G14+G13</f>
        <v>109800</v>
      </c>
      <c r="H16" s="96">
        <f>H13</f>
        <v>0</v>
      </c>
      <c r="I16" s="97" t="s">
        <v>21</v>
      </c>
      <c r="J16" s="96">
        <f>J13</f>
        <v>0</v>
      </c>
      <c r="K16" s="98" t="s">
        <v>42</v>
      </c>
    </row>
    <row r="17" spans="1:11" ht="57">
      <c r="A17" s="111">
        <v>4</v>
      </c>
      <c r="B17" s="111">
        <v>700</v>
      </c>
      <c r="C17" s="111">
        <v>70005</v>
      </c>
      <c r="D17" s="110" t="s">
        <v>150</v>
      </c>
      <c r="E17" s="112">
        <f>F17</f>
        <v>34350</v>
      </c>
      <c r="F17" s="112">
        <f>50000-650-15000</f>
        <v>34350</v>
      </c>
      <c r="G17" s="112">
        <v>0</v>
      </c>
      <c r="H17" s="112">
        <v>0</v>
      </c>
      <c r="I17" s="113" t="s">
        <v>21</v>
      </c>
      <c r="J17" s="114">
        <v>0</v>
      </c>
      <c r="K17" s="106" t="s">
        <v>22</v>
      </c>
    </row>
    <row r="18" spans="1:11" s="91" customFormat="1" ht="60">
      <c r="A18" s="142" t="s">
        <v>151</v>
      </c>
      <c r="B18" s="143"/>
      <c r="C18" s="143"/>
      <c r="D18" s="144"/>
      <c r="E18" s="99">
        <f>E17</f>
        <v>34350</v>
      </c>
      <c r="F18" s="99">
        <f>F17</f>
        <v>34350</v>
      </c>
      <c r="G18" s="99">
        <f>G17</f>
        <v>0</v>
      </c>
      <c r="H18" s="99">
        <f>H17</f>
        <v>0</v>
      </c>
      <c r="I18" s="100" t="s">
        <v>21</v>
      </c>
      <c r="J18" s="99">
        <f>J17</f>
        <v>0</v>
      </c>
      <c r="K18" s="98" t="s">
        <v>42</v>
      </c>
    </row>
    <row r="19" spans="1:11" ht="57">
      <c r="A19" s="111">
        <v>5</v>
      </c>
      <c r="B19" s="111">
        <v>754</v>
      </c>
      <c r="C19" s="111">
        <v>75412</v>
      </c>
      <c r="D19" s="110" t="s">
        <v>152</v>
      </c>
      <c r="E19" s="112">
        <f>F19</f>
        <v>7549</v>
      </c>
      <c r="F19" s="112">
        <v>7549</v>
      </c>
      <c r="G19" s="112">
        <v>0</v>
      </c>
      <c r="H19" s="112">
        <v>0</v>
      </c>
      <c r="I19" s="113" t="s">
        <v>21</v>
      </c>
      <c r="J19" s="114">
        <v>0</v>
      </c>
      <c r="K19" s="106" t="s">
        <v>22</v>
      </c>
    </row>
    <row r="20" spans="1:11" ht="57">
      <c r="A20" s="111">
        <v>6</v>
      </c>
      <c r="B20" s="111">
        <v>754</v>
      </c>
      <c r="C20" s="111">
        <v>75412</v>
      </c>
      <c r="D20" s="110" t="s">
        <v>153</v>
      </c>
      <c r="E20" s="112">
        <f>F20</f>
        <v>5730</v>
      </c>
      <c r="F20" s="112">
        <v>5730</v>
      </c>
      <c r="G20" s="112">
        <v>0</v>
      </c>
      <c r="H20" s="112">
        <v>0</v>
      </c>
      <c r="I20" s="113" t="s">
        <v>21</v>
      </c>
      <c r="J20" s="114">
        <v>0</v>
      </c>
      <c r="K20" s="106" t="s">
        <v>22</v>
      </c>
    </row>
    <row r="21" spans="1:11" ht="57">
      <c r="A21" s="111">
        <v>7</v>
      </c>
      <c r="B21" s="111">
        <v>754</v>
      </c>
      <c r="C21" s="111">
        <v>75412</v>
      </c>
      <c r="D21" s="110" t="s">
        <v>154</v>
      </c>
      <c r="E21" s="112">
        <f>F21</f>
        <v>4500</v>
      </c>
      <c r="F21" s="112">
        <f>3652+848</f>
        <v>4500</v>
      </c>
      <c r="G21" s="112">
        <v>0</v>
      </c>
      <c r="H21" s="112">
        <v>0</v>
      </c>
      <c r="I21" s="113" t="s">
        <v>21</v>
      </c>
      <c r="J21" s="114">
        <v>0</v>
      </c>
      <c r="K21" s="106" t="s">
        <v>22</v>
      </c>
    </row>
    <row r="22" spans="1:11" s="91" customFormat="1" ht="60" customHeight="1">
      <c r="A22" s="142" t="s">
        <v>155</v>
      </c>
      <c r="B22" s="143"/>
      <c r="C22" s="143"/>
      <c r="D22" s="144"/>
      <c r="E22" s="99">
        <f>E21+E20+E19</f>
        <v>17779</v>
      </c>
      <c r="F22" s="99">
        <f>F21+F20+F19</f>
        <v>17779</v>
      </c>
      <c r="G22" s="99">
        <f>G21+G20+G19</f>
        <v>0</v>
      </c>
      <c r="H22" s="99">
        <f>H21+H20+H19</f>
        <v>0</v>
      </c>
      <c r="I22" s="100" t="s">
        <v>21</v>
      </c>
      <c r="J22" s="99">
        <f>J21+J20+J19</f>
        <v>0</v>
      </c>
      <c r="K22" s="98" t="s">
        <v>42</v>
      </c>
    </row>
    <row r="23" spans="1:11" s="91" customFormat="1" ht="60" customHeight="1">
      <c r="A23" s="98">
        <v>8</v>
      </c>
      <c r="B23" s="101">
        <v>801</v>
      </c>
      <c r="C23" s="101">
        <v>80101</v>
      </c>
      <c r="D23" s="94" t="s">
        <v>186</v>
      </c>
      <c r="E23" s="102">
        <v>90839</v>
      </c>
      <c r="F23" s="102">
        <v>18168</v>
      </c>
      <c r="G23" s="102">
        <v>0</v>
      </c>
      <c r="H23" s="102">
        <v>0</v>
      </c>
      <c r="I23" s="113" t="s">
        <v>188</v>
      </c>
      <c r="J23" s="102">
        <v>0</v>
      </c>
      <c r="K23" s="106" t="s">
        <v>22</v>
      </c>
    </row>
    <row r="24" spans="1:11" s="91" customFormat="1" ht="60" customHeight="1">
      <c r="A24" s="142" t="s">
        <v>185</v>
      </c>
      <c r="B24" s="143"/>
      <c r="C24" s="143"/>
      <c r="D24" s="144"/>
      <c r="E24" s="99">
        <v>90839</v>
      </c>
      <c r="F24" s="99">
        <f>F23</f>
        <v>18168</v>
      </c>
      <c r="G24" s="99">
        <v>0</v>
      </c>
      <c r="H24" s="99">
        <v>0</v>
      </c>
      <c r="I24" s="115" t="s">
        <v>187</v>
      </c>
      <c r="J24" s="99">
        <v>0</v>
      </c>
      <c r="K24" s="98" t="s">
        <v>42</v>
      </c>
    </row>
    <row r="25" spans="1:11" s="92" customFormat="1" ht="60" customHeight="1">
      <c r="A25" s="101">
        <v>9</v>
      </c>
      <c r="B25" s="101">
        <v>851</v>
      </c>
      <c r="C25" s="101">
        <v>85121</v>
      </c>
      <c r="D25" s="94" t="s">
        <v>156</v>
      </c>
      <c r="E25" s="102">
        <v>10000</v>
      </c>
      <c r="F25" s="102">
        <v>0</v>
      </c>
      <c r="G25" s="102">
        <v>10000</v>
      </c>
      <c r="H25" s="102">
        <v>0</v>
      </c>
      <c r="I25" s="103" t="s">
        <v>21</v>
      </c>
      <c r="J25" s="102">
        <v>0</v>
      </c>
      <c r="K25" s="106" t="s">
        <v>22</v>
      </c>
    </row>
    <row r="26" spans="1:11" s="91" customFormat="1" ht="60" customHeight="1">
      <c r="A26" s="142" t="s">
        <v>157</v>
      </c>
      <c r="B26" s="143"/>
      <c r="C26" s="143"/>
      <c r="D26" s="144"/>
      <c r="E26" s="99">
        <f>E25</f>
        <v>10000</v>
      </c>
      <c r="F26" s="99">
        <f>F25</f>
        <v>0</v>
      </c>
      <c r="G26" s="99">
        <f>G25</f>
        <v>10000</v>
      </c>
      <c r="H26" s="99">
        <f>H25</f>
        <v>0</v>
      </c>
      <c r="I26" s="115" t="s">
        <v>21</v>
      </c>
      <c r="J26" s="99">
        <f>J25</f>
        <v>0</v>
      </c>
      <c r="K26" s="104" t="s">
        <v>42</v>
      </c>
    </row>
    <row r="27" spans="1:11" s="92" customFormat="1" ht="60" customHeight="1">
      <c r="A27" s="105">
        <v>10</v>
      </c>
      <c r="B27" s="101">
        <v>853</v>
      </c>
      <c r="C27" s="101">
        <v>85395</v>
      </c>
      <c r="D27" s="94" t="s">
        <v>158</v>
      </c>
      <c r="E27" s="102">
        <f>3787+201</f>
        <v>3988</v>
      </c>
      <c r="F27" s="102">
        <v>0</v>
      </c>
      <c r="G27" s="102">
        <v>0</v>
      </c>
      <c r="H27" s="102">
        <v>0</v>
      </c>
      <c r="I27" s="103" t="s">
        <v>159</v>
      </c>
      <c r="J27" s="102">
        <f>3787-397</f>
        <v>3390</v>
      </c>
      <c r="K27" s="106" t="s">
        <v>160</v>
      </c>
    </row>
    <row r="28" spans="1:13" s="91" customFormat="1" ht="60" customHeight="1">
      <c r="A28" s="142" t="s">
        <v>161</v>
      </c>
      <c r="B28" s="143"/>
      <c r="C28" s="143"/>
      <c r="D28" s="144"/>
      <c r="E28" s="99">
        <f aca="true" t="shared" si="0" ref="E28:J28">E27</f>
        <v>3988</v>
      </c>
      <c r="F28" s="99">
        <f t="shared" si="0"/>
        <v>0</v>
      </c>
      <c r="G28" s="99">
        <f t="shared" si="0"/>
        <v>0</v>
      </c>
      <c r="H28" s="99">
        <f t="shared" si="0"/>
        <v>0</v>
      </c>
      <c r="I28" s="100" t="str">
        <f t="shared" si="0"/>
        <v>A.      
B.
C. 598
D. </v>
      </c>
      <c r="J28" s="99">
        <f t="shared" si="0"/>
        <v>3390</v>
      </c>
      <c r="K28" s="98" t="s">
        <v>42</v>
      </c>
      <c r="M28" s="93"/>
    </row>
    <row r="29" spans="1:13" s="91" customFormat="1" ht="60" customHeight="1">
      <c r="A29" s="111">
        <v>11</v>
      </c>
      <c r="B29" s="111">
        <v>900</v>
      </c>
      <c r="C29" s="111">
        <v>90001</v>
      </c>
      <c r="D29" s="110" t="s">
        <v>162</v>
      </c>
      <c r="E29" s="112">
        <v>7000</v>
      </c>
      <c r="F29" s="112">
        <v>7000</v>
      </c>
      <c r="G29" s="112">
        <v>0</v>
      </c>
      <c r="H29" s="112">
        <v>0</v>
      </c>
      <c r="I29" s="113" t="s">
        <v>21</v>
      </c>
      <c r="J29" s="112">
        <v>0</v>
      </c>
      <c r="K29" s="106" t="s">
        <v>22</v>
      </c>
      <c r="M29" s="93"/>
    </row>
    <row r="30" spans="1:11" ht="57">
      <c r="A30" s="111">
        <v>12</v>
      </c>
      <c r="B30" s="111">
        <v>900</v>
      </c>
      <c r="C30" s="111">
        <v>90004</v>
      </c>
      <c r="D30" s="110" t="s">
        <v>163</v>
      </c>
      <c r="E30" s="112">
        <f>F30</f>
        <v>4000</v>
      </c>
      <c r="F30" s="112">
        <v>4000</v>
      </c>
      <c r="G30" s="112">
        <v>0</v>
      </c>
      <c r="H30" s="112">
        <v>0</v>
      </c>
      <c r="I30" s="113" t="s">
        <v>21</v>
      </c>
      <c r="J30" s="114">
        <v>0</v>
      </c>
      <c r="K30" s="106" t="s">
        <v>22</v>
      </c>
    </row>
    <row r="31" spans="1:11" ht="57">
      <c r="A31" s="111">
        <v>13</v>
      </c>
      <c r="B31" s="111">
        <v>900</v>
      </c>
      <c r="C31" s="111">
        <v>90004</v>
      </c>
      <c r="D31" s="110" t="s">
        <v>164</v>
      </c>
      <c r="E31" s="112">
        <f>F31</f>
        <v>8010</v>
      </c>
      <c r="F31" s="112">
        <v>8010</v>
      </c>
      <c r="G31" s="112">
        <v>0</v>
      </c>
      <c r="H31" s="112">
        <v>0</v>
      </c>
      <c r="I31" s="113" t="s">
        <v>21</v>
      </c>
      <c r="J31" s="114">
        <v>0</v>
      </c>
      <c r="K31" s="106" t="s">
        <v>22</v>
      </c>
    </row>
    <row r="32" spans="1:11" ht="57">
      <c r="A32" s="111">
        <v>14</v>
      </c>
      <c r="B32" s="111">
        <v>900</v>
      </c>
      <c r="C32" s="111">
        <v>90004</v>
      </c>
      <c r="D32" s="110" t="s">
        <v>165</v>
      </c>
      <c r="E32" s="112">
        <f>F32</f>
        <v>8912</v>
      </c>
      <c r="F32" s="112">
        <v>8912</v>
      </c>
      <c r="G32" s="112">
        <v>0</v>
      </c>
      <c r="H32" s="112">
        <v>0</v>
      </c>
      <c r="I32" s="113" t="s">
        <v>21</v>
      </c>
      <c r="J32" s="114">
        <v>0</v>
      </c>
      <c r="K32" s="106" t="s">
        <v>22</v>
      </c>
    </row>
    <row r="33" spans="1:11" ht="57.75" customHeight="1">
      <c r="A33" s="111">
        <v>15</v>
      </c>
      <c r="B33" s="111">
        <v>900</v>
      </c>
      <c r="C33" s="111">
        <v>90015</v>
      </c>
      <c r="D33" s="110" t="s">
        <v>166</v>
      </c>
      <c r="E33" s="112">
        <f>F33</f>
        <v>5704</v>
      </c>
      <c r="F33" s="112">
        <v>5704</v>
      </c>
      <c r="G33" s="112">
        <v>0</v>
      </c>
      <c r="H33" s="112">
        <v>0</v>
      </c>
      <c r="I33" s="113" t="s">
        <v>21</v>
      </c>
      <c r="J33" s="114">
        <v>0</v>
      </c>
      <c r="K33" s="106" t="s">
        <v>22</v>
      </c>
    </row>
    <row r="34" spans="1:11" ht="76.5" customHeight="1">
      <c r="A34" s="111">
        <v>16</v>
      </c>
      <c r="B34" s="111">
        <v>900</v>
      </c>
      <c r="C34" s="111">
        <v>90019</v>
      </c>
      <c r="D34" s="110" t="s">
        <v>167</v>
      </c>
      <c r="E34" s="112">
        <v>20000</v>
      </c>
      <c r="F34" s="112">
        <f>E34</f>
        <v>20000</v>
      </c>
      <c r="G34" s="112">
        <v>0</v>
      </c>
      <c r="H34" s="112">
        <v>0</v>
      </c>
      <c r="I34" s="113" t="s">
        <v>21</v>
      </c>
      <c r="J34" s="114">
        <v>0</v>
      </c>
      <c r="K34" s="106" t="s">
        <v>22</v>
      </c>
    </row>
    <row r="35" spans="1:11" ht="60" customHeight="1">
      <c r="A35" s="111">
        <v>17</v>
      </c>
      <c r="B35" s="111">
        <v>900</v>
      </c>
      <c r="C35" s="111">
        <v>90019</v>
      </c>
      <c r="D35" s="110" t="s">
        <v>168</v>
      </c>
      <c r="E35" s="112">
        <v>19510</v>
      </c>
      <c r="F35" s="112">
        <f>E35</f>
        <v>19510</v>
      </c>
      <c r="G35" s="112">
        <v>0</v>
      </c>
      <c r="H35" s="112">
        <v>0</v>
      </c>
      <c r="I35" s="113" t="s">
        <v>21</v>
      </c>
      <c r="J35" s="114">
        <v>0</v>
      </c>
      <c r="K35" s="106" t="s">
        <v>22</v>
      </c>
    </row>
    <row r="36" spans="1:11" ht="58.5" customHeight="1">
      <c r="A36" s="111">
        <v>18</v>
      </c>
      <c r="B36" s="111">
        <v>900</v>
      </c>
      <c r="C36" s="111">
        <v>90095</v>
      </c>
      <c r="D36" s="110" t="s">
        <v>169</v>
      </c>
      <c r="E36" s="112">
        <v>50000</v>
      </c>
      <c r="F36" s="112">
        <v>0</v>
      </c>
      <c r="G36" s="112">
        <v>50000</v>
      </c>
      <c r="H36" s="112">
        <v>0</v>
      </c>
      <c r="I36" s="113" t="s">
        <v>21</v>
      </c>
      <c r="J36" s="114">
        <v>0</v>
      </c>
      <c r="K36" s="106" t="s">
        <v>22</v>
      </c>
    </row>
    <row r="37" spans="1:11" s="91" customFormat="1" ht="60">
      <c r="A37" s="142" t="s">
        <v>170</v>
      </c>
      <c r="B37" s="143"/>
      <c r="C37" s="143"/>
      <c r="D37" s="144"/>
      <c r="E37" s="99">
        <f>E33+E32+E30+E34+E35+E31+E36+E29</f>
        <v>123136</v>
      </c>
      <c r="F37" s="99">
        <f>F33+F32+F30+F34+F35+F31+F36+F29</f>
        <v>73136</v>
      </c>
      <c r="G37" s="99">
        <f>G33+G32+G30+G34+G35+G31+G36</f>
        <v>50000</v>
      </c>
      <c r="H37" s="99">
        <f>H33+H32+H30+H34+H35+H31+H36</f>
        <v>0</v>
      </c>
      <c r="I37" s="100" t="s">
        <v>21</v>
      </c>
      <c r="J37" s="99">
        <f>J33+J32+J30+J34+J35+J31</f>
        <v>0</v>
      </c>
      <c r="K37" s="98" t="s">
        <v>42</v>
      </c>
    </row>
    <row r="38" spans="1:11" ht="57">
      <c r="A38" s="111">
        <v>19</v>
      </c>
      <c r="B38" s="111">
        <v>921</v>
      </c>
      <c r="C38" s="111">
        <v>92109</v>
      </c>
      <c r="D38" s="110" t="s">
        <v>171</v>
      </c>
      <c r="E38" s="112">
        <f aca="true" t="shared" si="1" ref="E38:E43">F38</f>
        <v>11000</v>
      </c>
      <c r="F38" s="112">
        <f>20000-9000</f>
        <v>11000</v>
      </c>
      <c r="G38" s="112">
        <v>0</v>
      </c>
      <c r="H38" s="112">
        <v>0</v>
      </c>
      <c r="I38" s="113" t="s">
        <v>21</v>
      </c>
      <c r="J38" s="114">
        <v>0</v>
      </c>
      <c r="K38" s="106" t="s">
        <v>22</v>
      </c>
    </row>
    <row r="39" spans="1:11" ht="57">
      <c r="A39" s="111">
        <v>20</v>
      </c>
      <c r="B39" s="111">
        <v>921</v>
      </c>
      <c r="C39" s="111">
        <v>92109</v>
      </c>
      <c r="D39" s="110" t="s">
        <v>172</v>
      </c>
      <c r="E39" s="112">
        <f t="shared" si="1"/>
        <v>4000</v>
      </c>
      <c r="F39" s="112">
        <f>6000-2000</f>
        <v>4000</v>
      </c>
      <c r="G39" s="112">
        <v>0</v>
      </c>
      <c r="H39" s="112">
        <v>0</v>
      </c>
      <c r="I39" s="113" t="s">
        <v>21</v>
      </c>
      <c r="J39" s="114">
        <v>0</v>
      </c>
      <c r="K39" s="106" t="s">
        <v>22</v>
      </c>
    </row>
    <row r="40" spans="1:11" ht="57">
      <c r="A40" s="111">
        <v>21</v>
      </c>
      <c r="B40" s="111">
        <v>921</v>
      </c>
      <c r="C40" s="111">
        <v>92109</v>
      </c>
      <c r="D40" s="110" t="s">
        <v>173</v>
      </c>
      <c r="E40" s="112">
        <f t="shared" si="1"/>
        <v>16041</v>
      </c>
      <c r="F40" s="112">
        <v>16041</v>
      </c>
      <c r="G40" s="112">
        <v>0</v>
      </c>
      <c r="H40" s="112">
        <v>0</v>
      </c>
      <c r="I40" s="113" t="s">
        <v>21</v>
      </c>
      <c r="J40" s="114">
        <v>0</v>
      </c>
      <c r="K40" s="106" t="s">
        <v>22</v>
      </c>
    </row>
    <row r="41" spans="1:11" ht="57">
      <c r="A41" s="111">
        <v>22</v>
      </c>
      <c r="B41" s="111">
        <v>921</v>
      </c>
      <c r="C41" s="111">
        <v>92109</v>
      </c>
      <c r="D41" s="110" t="s">
        <v>174</v>
      </c>
      <c r="E41" s="112">
        <f t="shared" si="1"/>
        <v>13064</v>
      </c>
      <c r="F41" s="112">
        <v>13064</v>
      </c>
      <c r="G41" s="112">
        <v>0</v>
      </c>
      <c r="H41" s="112">
        <v>0</v>
      </c>
      <c r="I41" s="113" t="s">
        <v>21</v>
      </c>
      <c r="J41" s="114">
        <v>0</v>
      </c>
      <c r="K41" s="106" t="s">
        <v>22</v>
      </c>
    </row>
    <row r="42" spans="1:11" ht="57">
      <c r="A42" s="111">
        <v>23</v>
      </c>
      <c r="B42" s="111">
        <v>921</v>
      </c>
      <c r="C42" s="111">
        <v>92109</v>
      </c>
      <c r="D42" s="110" t="s">
        <v>175</v>
      </c>
      <c r="E42" s="112">
        <f t="shared" si="1"/>
        <v>4000</v>
      </c>
      <c r="F42" s="112">
        <v>4000</v>
      </c>
      <c r="G42" s="112">
        <v>0</v>
      </c>
      <c r="H42" s="112">
        <v>0</v>
      </c>
      <c r="I42" s="113" t="s">
        <v>21</v>
      </c>
      <c r="J42" s="114">
        <v>0</v>
      </c>
      <c r="K42" s="106" t="s">
        <v>22</v>
      </c>
    </row>
    <row r="43" spans="1:11" ht="57">
      <c r="A43" s="111">
        <v>24</v>
      </c>
      <c r="B43" s="111">
        <v>921</v>
      </c>
      <c r="C43" s="111">
        <v>92109</v>
      </c>
      <c r="D43" s="110" t="s">
        <v>176</v>
      </c>
      <c r="E43" s="112">
        <f t="shared" si="1"/>
        <v>8576</v>
      </c>
      <c r="F43" s="112">
        <v>8576</v>
      </c>
      <c r="G43" s="112">
        <v>0</v>
      </c>
      <c r="H43" s="112">
        <v>0</v>
      </c>
      <c r="I43" s="113" t="s">
        <v>21</v>
      </c>
      <c r="J43" s="114">
        <v>0</v>
      </c>
      <c r="K43" s="106" t="s">
        <v>22</v>
      </c>
    </row>
    <row r="44" spans="1:11" s="91" customFormat="1" ht="60">
      <c r="A44" s="142" t="s">
        <v>177</v>
      </c>
      <c r="B44" s="143"/>
      <c r="C44" s="143"/>
      <c r="D44" s="144"/>
      <c r="E44" s="99">
        <f>E43+E42+E41+E40+E39+E38</f>
        <v>56681</v>
      </c>
      <c r="F44" s="99">
        <f>F43+F42+F41+F40+F39+F38</f>
        <v>56681</v>
      </c>
      <c r="G44" s="99">
        <f>G43+G42+G41+G40+G39+G38</f>
        <v>0</v>
      </c>
      <c r="H44" s="99">
        <f>H43+H42+H41+H40+H39+H38</f>
        <v>0</v>
      </c>
      <c r="I44" s="100" t="s">
        <v>21</v>
      </c>
      <c r="J44" s="99">
        <f>J43+J42+J41+J40+J39+J38</f>
        <v>0</v>
      </c>
      <c r="K44" s="98" t="s">
        <v>42</v>
      </c>
    </row>
    <row r="45" spans="1:11" ht="57">
      <c r="A45" s="111">
        <v>25</v>
      </c>
      <c r="B45" s="111">
        <v>926</v>
      </c>
      <c r="C45" s="111">
        <v>92601</v>
      </c>
      <c r="D45" s="110" t="s">
        <v>178</v>
      </c>
      <c r="E45" s="112">
        <f>F45</f>
        <v>5955</v>
      </c>
      <c r="F45" s="112">
        <v>5955</v>
      </c>
      <c r="G45" s="112">
        <v>0</v>
      </c>
      <c r="H45" s="112">
        <v>0</v>
      </c>
      <c r="I45" s="113" t="s">
        <v>21</v>
      </c>
      <c r="J45" s="114">
        <v>0</v>
      </c>
      <c r="K45" s="106" t="s">
        <v>22</v>
      </c>
    </row>
    <row r="46" spans="1:11" s="91" customFormat="1" ht="57.75" customHeight="1">
      <c r="A46" s="142" t="s">
        <v>179</v>
      </c>
      <c r="B46" s="143"/>
      <c r="C46" s="143"/>
      <c r="D46" s="144"/>
      <c r="E46" s="99">
        <f>E45</f>
        <v>5955</v>
      </c>
      <c r="F46" s="99">
        <f>F45</f>
        <v>5955</v>
      </c>
      <c r="G46" s="99">
        <f>G45</f>
        <v>0</v>
      </c>
      <c r="H46" s="99">
        <f>H45</f>
        <v>0</v>
      </c>
      <c r="I46" s="100" t="s">
        <v>21</v>
      </c>
      <c r="J46" s="99">
        <f>J45</f>
        <v>0</v>
      </c>
      <c r="K46" s="98" t="s">
        <v>42</v>
      </c>
    </row>
    <row r="47" spans="1:11" ht="60" customHeight="1">
      <c r="A47" s="145" t="s">
        <v>63</v>
      </c>
      <c r="B47" s="145"/>
      <c r="C47" s="145"/>
      <c r="D47" s="145"/>
      <c r="E47" s="99">
        <f>E46+E44+E37+E22+E18+E28+E26+E16+E24</f>
        <v>551528</v>
      </c>
      <c r="F47" s="99">
        <f>F46+F44+F37+F22+F18+F28+F26+F16+F24</f>
        <v>305069</v>
      </c>
      <c r="G47" s="99">
        <f>G46+G44+G37+G22+G18+G28+G26+G16</f>
        <v>169800</v>
      </c>
      <c r="H47" s="99">
        <f>H46+H44+H37+H22+H18+H28+H26+H16</f>
        <v>0</v>
      </c>
      <c r="I47" s="116" t="s">
        <v>189</v>
      </c>
      <c r="J47" s="99">
        <f>J46+J44+J37+J22+J18+J28+J26+J16</f>
        <v>3390</v>
      </c>
      <c r="K47" s="98" t="s">
        <v>42</v>
      </c>
    </row>
    <row r="48" spans="5:10" ht="14.25">
      <c r="E48" s="13"/>
      <c r="F48" s="13"/>
      <c r="G48" s="13"/>
      <c r="H48" s="13"/>
      <c r="I48" s="13"/>
      <c r="J48" s="13"/>
    </row>
    <row r="49" spans="1:6" ht="14.25">
      <c r="A49" s="1" t="s">
        <v>180</v>
      </c>
      <c r="F49" s="13"/>
    </row>
    <row r="50" ht="14.25">
      <c r="A50" s="1" t="s">
        <v>181</v>
      </c>
    </row>
    <row r="51" ht="14.25">
      <c r="A51" s="1" t="s">
        <v>182</v>
      </c>
    </row>
    <row r="52" ht="14.25">
      <c r="A52" s="1" t="s">
        <v>183</v>
      </c>
    </row>
    <row r="53" spans="1:9" ht="14.25">
      <c r="A53" s="1" t="s">
        <v>184</v>
      </c>
      <c r="G53" s="13"/>
      <c r="H53" s="13"/>
      <c r="I53" s="13"/>
    </row>
    <row r="56" spans="5:10" ht="14.25">
      <c r="E56" s="13"/>
      <c r="F56" s="13"/>
      <c r="G56" s="13"/>
      <c r="H56" s="13"/>
      <c r="I56" s="13"/>
      <c r="J56" s="13"/>
    </row>
    <row r="57" ht="14.25">
      <c r="E57" s="13"/>
    </row>
    <row r="58" spans="7:11" ht="14.25">
      <c r="G58" s="13"/>
      <c r="K58" s="13"/>
    </row>
    <row r="59" ht="14.25">
      <c r="H59" s="13"/>
    </row>
    <row r="60" ht="14.25">
      <c r="G60" s="13"/>
    </row>
    <row r="66" ht="14.25">
      <c r="E66" s="13"/>
    </row>
  </sheetData>
  <sheetProtection/>
  <mergeCells count="25">
    <mergeCell ref="A16:D16"/>
    <mergeCell ref="A46:D46"/>
    <mergeCell ref="A47:D47"/>
    <mergeCell ref="A24:D24"/>
    <mergeCell ref="A18:D18"/>
    <mergeCell ref="A22:D22"/>
    <mergeCell ref="A26:D26"/>
    <mergeCell ref="A28:D28"/>
    <mergeCell ref="A37:D37"/>
    <mergeCell ref="A44:D44"/>
    <mergeCell ref="F8:F11"/>
    <mergeCell ref="G8:G11"/>
    <mergeCell ref="I8:I11"/>
    <mergeCell ref="J8:J11"/>
    <mergeCell ref="H9:H11"/>
    <mergeCell ref="I1:K3"/>
    <mergeCell ref="A4:K4"/>
    <mergeCell ref="A6:A11"/>
    <mergeCell ref="B6:B11"/>
    <mergeCell ref="C6:C11"/>
    <mergeCell ref="D6:D11"/>
    <mergeCell ref="E6:J6"/>
    <mergeCell ref="K6:K11"/>
    <mergeCell ref="E7:E11"/>
    <mergeCell ref="F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view="pageBreakPreview" zoomScale="130" zoomScaleSheetLayoutView="130" zoomScalePageLayoutView="0" workbookViewId="0" topLeftCell="A1">
      <selection activeCell="G1" sqref="G1:I4"/>
    </sheetView>
  </sheetViews>
  <sheetFormatPr defaultColWidth="9.140625" defaultRowHeight="15"/>
  <cols>
    <col min="1" max="1" width="3.57421875" style="38" customWidth="1"/>
    <col min="2" max="2" width="24.8515625" style="38" customWidth="1"/>
    <col min="3" max="3" width="8.57421875" style="38" customWidth="1"/>
    <col min="4" max="4" width="10.28125" style="38" customWidth="1"/>
    <col min="5" max="5" width="4.421875" style="38" customWidth="1"/>
    <col min="6" max="6" width="6.8515625" style="38" customWidth="1"/>
    <col min="7" max="7" width="21.8515625" style="38" customWidth="1"/>
    <col min="8" max="8" width="9.57421875" style="38" customWidth="1"/>
    <col min="9" max="9" width="10.7109375" style="38" customWidth="1"/>
    <col min="10" max="16384" width="9.140625" style="38" customWidth="1"/>
  </cols>
  <sheetData>
    <row r="1" spans="7:9" s="90" customFormat="1" ht="12">
      <c r="G1" s="167" t="s">
        <v>192</v>
      </c>
      <c r="H1" s="167"/>
      <c r="I1" s="167"/>
    </row>
    <row r="2" spans="7:9" s="90" customFormat="1" ht="12">
      <c r="G2" s="167"/>
      <c r="H2" s="167"/>
      <c r="I2" s="167"/>
    </row>
    <row r="3" spans="7:9" s="90" customFormat="1" ht="12">
      <c r="G3" s="167"/>
      <c r="H3" s="167"/>
      <c r="I3" s="167"/>
    </row>
    <row r="4" spans="7:9" s="90" customFormat="1" ht="12">
      <c r="G4" s="167"/>
      <c r="H4" s="167"/>
      <c r="I4" s="167"/>
    </row>
    <row r="5" s="90" customFormat="1" ht="12"/>
    <row r="7" spans="1:9" ht="25.5" customHeight="1">
      <c r="A7" s="171" t="s">
        <v>87</v>
      </c>
      <c r="B7" s="171"/>
      <c r="C7" s="171"/>
      <c r="D7" s="171"/>
      <c r="E7" s="171"/>
      <c r="F7" s="171"/>
      <c r="G7" s="171"/>
      <c r="H7" s="171"/>
      <c r="I7" s="171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ht="4.5" customHeight="1"/>
    <row r="10" spans="1:9" ht="48" customHeight="1">
      <c r="A10" s="172" t="s">
        <v>88</v>
      </c>
      <c r="B10" s="172" t="s">
        <v>89</v>
      </c>
      <c r="C10" s="172" t="s">
        <v>90</v>
      </c>
      <c r="D10" s="164" t="s">
        <v>8</v>
      </c>
      <c r="E10" s="172" t="s">
        <v>3</v>
      </c>
      <c r="F10" s="164" t="s">
        <v>69</v>
      </c>
      <c r="G10" s="172" t="s">
        <v>91</v>
      </c>
      <c r="H10" s="172"/>
      <c r="I10" s="173" t="s">
        <v>92</v>
      </c>
    </row>
    <row r="11" spans="1:9" ht="12.75">
      <c r="A11" s="172"/>
      <c r="B11" s="172"/>
      <c r="C11" s="172"/>
      <c r="D11" s="166"/>
      <c r="E11" s="172"/>
      <c r="F11" s="166"/>
      <c r="G11" s="88" t="s">
        <v>93</v>
      </c>
      <c r="H11" s="88" t="s">
        <v>94</v>
      </c>
      <c r="I11" s="173"/>
    </row>
    <row r="12" spans="1:9" s="86" customFormat="1" ht="8.2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</row>
    <row r="13" spans="1:9" ht="26.25" customHeight="1">
      <c r="A13" s="64" t="s">
        <v>17</v>
      </c>
      <c r="B13" s="67" t="s">
        <v>136</v>
      </c>
      <c r="C13" s="148" t="s">
        <v>139</v>
      </c>
      <c r="D13" s="150" t="s">
        <v>22</v>
      </c>
      <c r="E13" s="158" t="s">
        <v>18</v>
      </c>
      <c r="F13" s="158" t="s">
        <v>19</v>
      </c>
      <c r="G13" s="64" t="s">
        <v>95</v>
      </c>
      <c r="H13" s="63">
        <f>H14+H20</f>
        <v>4200974</v>
      </c>
      <c r="I13" s="63">
        <f>I14+I20</f>
        <v>2382121</v>
      </c>
    </row>
    <row r="14" spans="1:9" ht="51" customHeight="1">
      <c r="A14" s="47"/>
      <c r="B14" s="61" t="s">
        <v>135</v>
      </c>
      <c r="C14" s="149"/>
      <c r="D14" s="151"/>
      <c r="E14" s="159"/>
      <c r="F14" s="159"/>
      <c r="G14" s="47" t="s">
        <v>96</v>
      </c>
      <c r="H14" s="55">
        <f>H15+H16+H17</f>
        <v>0</v>
      </c>
      <c r="I14" s="55">
        <f>I15+I16+I17</f>
        <v>0</v>
      </c>
    </row>
    <row r="15" spans="1:9" ht="42.75" customHeight="1">
      <c r="A15" s="47"/>
      <c r="B15" s="61" t="s">
        <v>134</v>
      </c>
      <c r="C15" s="149"/>
      <c r="D15" s="151"/>
      <c r="E15" s="159"/>
      <c r="F15" s="159"/>
      <c r="G15" s="50" t="s">
        <v>109</v>
      </c>
      <c r="H15" s="55"/>
      <c r="I15" s="55"/>
    </row>
    <row r="16" spans="1:9" ht="39.75" customHeight="1">
      <c r="A16" s="47"/>
      <c r="B16" s="59" t="s">
        <v>133</v>
      </c>
      <c r="C16" s="157"/>
      <c r="D16" s="156"/>
      <c r="E16" s="160"/>
      <c r="F16" s="160"/>
      <c r="G16" s="50" t="s">
        <v>108</v>
      </c>
      <c r="H16" s="55"/>
      <c r="I16" s="55"/>
    </row>
    <row r="17" spans="1:9" ht="23.25" customHeight="1">
      <c r="A17" s="46"/>
      <c r="B17" s="85"/>
      <c r="C17" s="65"/>
      <c r="D17" s="66"/>
      <c r="E17" s="65"/>
      <c r="F17" s="65"/>
      <c r="G17" s="84" t="s">
        <v>107</v>
      </c>
      <c r="H17" s="55"/>
      <c r="I17" s="55"/>
    </row>
    <row r="18" spans="1:9" ht="6" customHeight="1">
      <c r="A18" s="47"/>
      <c r="C18" s="60"/>
      <c r="D18" s="60"/>
      <c r="E18" s="60"/>
      <c r="F18" s="60"/>
      <c r="G18" s="48"/>
      <c r="H18" s="55"/>
      <c r="I18" s="55"/>
    </row>
    <row r="19" spans="1:9" ht="3.75" customHeight="1">
      <c r="A19" s="47"/>
      <c r="C19" s="60"/>
      <c r="D19" s="60"/>
      <c r="E19" s="60"/>
      <c r="F19" s="60"/>
      <c r="G19" s="48"/>
      <c r="H19" s="55"/>
      <c r="I19" s="55"/>
    </row>
    <row r="20" spans="1:9" ht="12.75">
      <c r="A20" s="47"/>
      <c r="B20" s="47"/>
      <c r="C20" s="60"/>
      <c r="D20" s="60"/>
      <c r="E20" s="60"/>
      <c r="F20" s="60"/>
      <c r="G20" s="47" t="s">
        <v>97</v>
      </c>
      <c r="H20" s="55">
        <f>H21+H22+H23</f>
        <v>4200974</v>
      </c>
      <c r="I20" s="55">
        <f>I21+I22+I23</f>
        <v>2382121</v>
      </c>
    </row>
    <row r="21" spans="1:9" ht="12.75">
      <c r="A21" s="47"/>
      <c r="B21" s="47"/>
      <c r="C21" s="60"/>
      <c r="D21" s="60"/>
      <c r="E21" s="60"/>
      <c r="F21" s="60"/>
      <c r="G21" s="50" t="s">
        <v>109</v>
      </c>
      <c r="H21" s="55">
        <f>2706024+522713</f>
        <v>3228737</v>
      </c>
      <c r="I21" s="55">
        <f>850000+882121</f>
        <v>1732121</v>
      </c>
    </row>
    <row r="22" spans="1:9" ht="12.75">
      <c r="A22" s="47"/>
      <c r="B22" s="47"/>
      <c r="C22" s="60"/>
      <c r="D22" s="60"/>
      <c r="E22" s="60"/>
      <c r="F22" s="60"/>
      <c r="G22" s="50" t="s">
        <v>108</v>
      </c>
      <c r="H22" s="55"/>
      <c r="I22" s="55"/>
    </row>
    <row r="23" spans="1:9" ht="24">
      <c r="A23" s="47"/>
      <c r="B23" s="47"/>
      <c r="C23" s="60"/>
      <c r="D23" s="60"/>
      <c r="E23" s="60"/>
      <c r="F23" s="60"/>
      <c r="G23" s="49" t="s">
        <v>107</v>
      </c>
      <c r="H23" s="55">
        <v>972237</v>
      </c>
      <c r="I23" s="55">
        <v>650000</v>
      </c>
    </row>
    <row r="24" spans="1:9" ht="36">
      <c r="A24" s="47"/>
      <c r="B24" s="47"/>
      <c r="C24" s="60"/>
      <c r="D24" s="60"/>
      <c r="E24" s="60"/>
      <c r="F24" s="60"/>
      <c r="G24" s="48" t="s">
        <v>98</v>
      </c>
      <c r="H24" s="55"/>
      <c r="I24" s="55"/>
    </row>
    <row r="25" spans="1:9" ht="9" customHeight="1">
      <c r="A25" s="42"/>
      <c r="B25" s="42"/>
      <c r="C25" s="58"/>
      <c r="D25" s="58"/>
      <c r="E25" s="58"/>
      <c r="F25" s="58"/>
      <c r="G25" s="42"/>
      <c r="H25" s="68"/>
      <c r="I25" s="68"/>
    </row>
    <row r="26" spans="1:9" ht="50.25" customHeight="1">
      <c r="A26" s="64" t="s">
        <v>26</v>
      </c>
      <c r="B26" s="67" t="s">
        <v>113</v>
      </c>
      <c r="C26" s="148" t="s">
        <v>99</v>
      </c>
      <c r="D26" s="150" t="s">
        <v>22</v>
      </c>
      <c r="E26" s="158" t="s">
        <v>18</v>
      </c>
      <c r="F26" s="158" t="s">
        <v>19</v>
      </c>
      <c r="G26" s="64" t="s">
        <v>95</v>
      </c>
      <c r="H26" s="63">
        <v>518462</v>
      </c>
      <c r="I26" s="63">
        <f>I27+I33</f>
        <v>470000</v>
      </c>
    </row>
    <row r="27" spans="1:9" ht="40.5" customHeight="1">
      <c r="A27" s="47"/>
      <c r="B27" s="61" t="s">
        <v>132</v>
      </c>
      <c r="C27" s="149"/>
      <c r="D27" s="151"/>
      <c r="E27" s="159"/>
      <c r="F27" s="159"/>
      <c r="G27" s="47" t="s">
        <v>96</v>
      </c>
      <c r="H27" s="55">
        <f>H28+H29+H30</f>
        <v>0</v>
      </c>
      <c r="I27" s="55">
        <f>I28+I29+I30</f>
        <v>0</v>
      </c>
    </row>
    <row r="28" spans="1:9" ht="38.25" customHeight="1">
      <c r="A28" s="47"/>
      <c r="B28" s="61" t="s">
        <v>131</v>
      </c>
      <c r="C28" s="149"/>
      <c r="D28" s="151"/>
      <c r="E28" s="159"/>
      <c r="F28" s="159"/>
      <c r="G28" s="50" t="s">
        <v>109</v>
      </c>
      <c r="H28" s="55"/>
      <c r="I28" s="55"/>
    </row>
    <row r="29" spans="1:9" ht="27.75" customHeight="1">
      <c r="A29" s="47"/>
      <c r="B29" s="61" t="s">
        <v>130</v>
      </c>
      <c r="C29" s="157"/>
      <c r="D29" s="156"/>
      <c r="E29" s="160"/>
      <c r="F29" s="160"/>
      <c r="G29" s="50" t="s">
        <v>108</v>
      </c>
      <c r="H29" s="55"/>
      <c r="I29" s="55"/>
    </row>
    <row r="30" spans="1:9" ht="24">
      <c r="A30" s="47"/>
      <c r="C30" s="60"/>
      <c r="D30" s="83"/>
      <c r="E30" s="71"/>
      <c r="F30" s="60"/>
      <c r="G30" s="49" t="s">
        <v>107</v>
      </c>
      <c r="H30" s="55"/>
      <c r="I30" s="55"/>
    </row>
    <row r="31" spans="1:9" ht="9" customHeight="1">
      <c r="A31" s="47"/>
      <c r="C31" s="60"/>
      <c r="D31" s="60"/>
      <c r="E31" s="60"/>
      <c r="F31" s="60"/>
      <c r="G31" s="48"/>
      <c r="H31" s="55"/>
      <c r="I31" s="55"/>
    </row>
    <row r="32" spans="1:9" ht="7.5" customHeight="1">
      <c r="A32" s="47"/>
      <c r="C32" s="60"/>
      <c r="D32" s="60"/>
      <c r="E32" s="60"/>
      <c r="F32" s="60"/>
      <c r="G32" s="48"/>
      <c r="H32" s="55"/>
      <c r="I32" s="55"/>
    </row>
    <row r="33" spans="1:9" ht="12.75">
      <c r="A33" s="47"/>
      <c r="B33" s="47"/>
      <c r="C33" s="60"/>
      <c r="D33" s="60"/>
      <c r="E33" s="60"/>
      <c r="F33" s="60"/>
      <c r="G33" s="47" t="s">
        <v>97</v>
      </c>
      <c r="H33" s="55">
        <f>H34+H35+H36</f>
        <v>518462</v>
      </c>
      <c r="I33" s="55">
        <f>I34+I35+I36</f>
        <v>470000</v>
      </c>
    </row>
    <row r="34" spans="1:9" ht="12.75">
      <c r="A34" s="47"/>
      <c r="B34" s="47"/>
      <c r="C34" s="60"/>
      <c r="D34" s="60"/>
      <c r="E34" s="60"/>
      <c r="F34" s="60"/>
      <c r="G34" s="50" t="s">
        <v>109</v>
      </c>
      <c r="H34" s="55">
        <v>248462</v>
      </c>
      <c r="I34" s="55">
        <v>200000</v>
      </c>
    </row>
    <row r="35" spans="1:9" ht="12.75">
      <c r="A35" s="47"/>
      <c r="B35" s="47"/>
      <c r="C35" s="60"/>
      <c r="D35" s="60"/>
      <c r="E35" s="60"/>
      <c r="F35" s="60"/>
      <c r="G35" s="50" t="s">
        <v>108</v>
      </c>
      <c r="H35" s="55"/>
      <c r="I35" s="55"/>
    </row>
    <row r="36" spans="1:9" ht="24">
      <c r="A36" s="47"/>
      <c r="B36" s="47"/>
      <c r="C36" s="60"/>
      <c r="D36" s="60"/>
      <c r="E36" s="60"/>
      <c r="F36" s="60"/>
      <c r="G36" s="49" t="s">
        <v>107</v>
      </c>
      <c r="H36" s="55">
        <v>270000</v>
      </c>
      <c r="I36" s="55">
        <f>250000+20000</f>
        <v>270000</v>
      </c>
    </row>
    <row r="37" spans="1:9" ht="36">
      <c r="A37" s="47"/>
      <c r="B37" s="47"/>
      <c r="C37" s="60"/>
      <c r="D37" s="60"/>
      <c r="E37" s="60"/>
      <c r="F37" s="60"/>
      <c r="G37" s="48" t="s">
        <v>98</v>
      </c>
      <c r="H37" s="55"/>
      <c r="I37" s="55"/>
    </row>
    <row r="38" spans="1:9" ht="7.5" customHeight="1">
      <c r="A38" s="42"/>
      <c r="B38" s="42"/>
      <c r="C38" s="58"/>
      <c r="D38" s="58"/>
      <c r="E38" s="58"/>
      <c r="F38" s="58"/>
      <c r="G38" s="42"/>
      <c r="H38" s="68"/>
      <c r="I38" s="68"/>
    </row>
    <row r="39" spans="1:9" ht="54" customHeight="1">
      <c r="A39" s="47" t="s">
        <v>28</v>
      </c>
      <c r="B39" s="67" t="s">
        <v>113</v>
      </c>
      <c r="C39" s="148" t="s">
        <v>99</v>
      </c>
      <c r="D39" s="150" t="s">
        <v>22</v>
      </c>
      <c r="E39" s="148">
        <v>600</v>
      </c>
      <c r="F39" s="148">
        <v>60016</v>
      </c>
      <c r="G39" s="64" t="s">
        <v>95</v>
      </c>
      <c r="H39" s="63">
        <v>6012324</v>
      </c>
      <c r="I39" s="63">
        <f>I40+I46</f>
        <v>3352333</v>
      </c>
    </row>
    <row r="40" spans="1:9" ht="42" customHeight="1">
      <c r="A40" s="47"/>
      <c r="B40" s="67" t="s">
        <v>129</v>
      </c>
      <c r="C40" s="149"/>
      <c r="D40" s="151"/>
      <c r="E40" s="149"/>
      <c r="F40" s="149"/>
      <c r="G40" s="47" t="s">
        <v>96</v>
      </c>
      <c r="H40" s="55">
        <f>H41+H42+H43</f>
        <v>0</v>
      </c>
      <c r="I40" s="55">
        <f>I41+I42+I43</f>
        <v>0</v>
      </c>
    </row>
    <row r="41" spans="1:9" ht="50.25" customHeight="1">
      <c r="A41" s="47"/>
      <c r="B41" s="67" t="s">
        <v>128</v>
      </c>
      <c r="C41" s="149"/>
      <c r="D41" s="151"/>
      <c r="E41" s="149"/>
      <c r="F41" s="149"/>
      <c r="G41" s="50" t="s">
        <v>109</v>
      </c>
      <c r="H41" s="55"/>
      <c r="I41" s="55"/>
    </row>
    <row r="42" spans="1:9" ht="42.75" customHeight="1">
      <c r="A42" s="47"/>
      <c r="B42" s="82" t="s">
        <v>127</v>
      </c>
      <c r="C42" s="157"/>
      <c r="D42" s="156"/>
      <c r="E42" s="157"/>
      <c r="F42" s="157"/>
      <c r="G42" s="50" t="s">
        <v>108</v>
      </c>
      <c r="H42" s="55"/>
      <c r="I42" s="55"/>
    </row>
    <row r="43" spans="1:9" ht="24">
      <c r="A43" s="47"/>
      <c r="C43" s="60"/>
      <c r="D43" s="60"/>
      <c r="E43" s="60"/>
      <c r="F43" s="60"/>
      <c r="G43" s="49" t="s">
        <v>107</v>
      </c>
      <c r="H43" s="55"/>
      <c r="I43" s="55"/>
    </row>
    <row r="44" spans="1:9" ht="12.75">
      <c r="A44" s="47"/>
      <c r="C44" s="60"/>
      <c r="D44" s="60"/>
      <c r="E44" s="60"/>
      <c r="F44" s="60"/>
      <c r="G44" s="48"/>
      <c r="H44" s="55"/>
      <c r="I44" s="55"/>
    </row>
    <row r="45" spans="1:9" ht="12.75">
      <c r="A45" s="47"/>
      <c r="C45" s="60"/>
      <c r="D45" s="60"/>
      <c r="E45" s="60"/>
      <c r="F45" s="60"/>
      <c r="G45" s="48"/>
      <c r="H45" s="55"/>
      <c r="I45" s="55"/>
    </row>
    <row r="46" spans="1:9" ht="12.75">
      <c r="A46" s="47"/>
      <c r="B46" s="47"/>
      <c r="C46" s="60"/>
      <c r="D46" s="60"/>
      <c r="E46" s="60"/>
      <c r="F46" s="60"/>
      <c r="G46" s="47" t="s">
        <v>97</v>
      </c>
      <c r="H46" s="55">
        <f>H47+H48+H49</f>
        <v>6012324</v>
      </c>
      <c r="I46" s="55">
        <f>I47+I48+I49</f>
        <v>3352333</v>
      </c>
    </row>
    <row r="47" spans="1:9" ht="12.75">
      <c r="A47" s="47"/>
      <c r="B47" s="47"/>
      <c r="C47" s="60"/>
      <c r="D47" s="60"/>
      <c r="E47" s="60"/>
      <c r="F47" s="60"/>
      <c r="G47" s="50" t="s">
        <v>109</v>
      </c>
      <c r="H47" s="55">
        <f>6012324-H49</f>
        <v>2357478</v>
      </c>
      <c r="I47" s="55">
        <f>1000000+442333-300000-140000+300000</f>
        <v>1302333</v>
      </c>
    </row>
    <row r="48" spans="1:9" ht="12.75">
      <c r="A48" s="47"/>
      <c r="B48" s="47"/>
      <c r="C48" s="60"/>
      <c r="D48" s="60"/>
      <c r="E48" s="60"/>
      <c r="F48" s="60"/>
      <c r="G48" s="50" t="s">
        <v>108</v>
      </c>
      <c r="H48" s="55"/>
      <c r="I48" s="55"/>
    </row>
    <row r="49" spans="1:9" ht="24">
      <c r="A49" s="47"/>
      <c r="B49" s="47"/>
      <c r="C49" s="60"/>
      <c r="D49" s="60"/>
      <c r="E49" s="60"/>
      <c r="F49" s="60"/>
      <c r="G49" s="49" t="s">
        <v>107</v>
      </c>
      <c r="H49" s="55">
        <v>3654846</v>
      </c>
      <c r="I49" s="55">
        <f>1500000+300000+550000-300000</f>
        <v>2050000</v>
      </c>
    </row>
    <row r="50" spans="1:9" ht="36">
      <c r="A50" s="47"/>
      <c r="B50" s="47"/>
      <c r="C50" s="60"/>
      <c r="D50" s="60"/>
      <c r="E50" s="60"/>
      <c r="F50" s="60"/>
      <c r="G50" s="48" t="s">
        <v>98</v>
      </c>
      <c r="H50" s="55"/>
      <c r="I50" s="55"/>
    </row>
    <row r="51" spans="1:9" ht="12.75">
      <c r="A51" s="42"/>
      <c r="B51" s="42"/>
      <c r="C51" s="58"/>
      <c r="D51" s="58"/>
      <c r="E51" s="58"/>
      <c r="F51" s="58"/>
      <c r="G51" s="42"/>
      <c r="H51" s="68"/>
      <c r="I51" s="68"/>
    </row>
    <row r="52" spans="1:9" ht="50.25" customHeight="1">
      <c r="A52" s="47" t="s">
        <v>30</v>
      </c>
      <c r="B52" s="67" t="s">
        <v>113</v>
      </c>
      <c r="C52" s="148" t="s">
        <v>99</v>
      </c>
      <c r="D52" s="150" t="s">
        <v>22</v>
      </c>
      <c r="E52" s="148">
        <v>720</v>
      </c>
      <c r="F52" s="148">
        <v>72095</v>
      </c>
      <c r="G52" s="64" t="s">
        <v>95</v>
      </c>
      <c r="H52" s="63">
        <f>H53+H59</f>
        <v>65100</v>
      </c>
      <c r="I52" s="63">
        <f>I53+I59</f>
        <v>65100</v>
      </c>
    </row>
    <row r="53" spans="1:9" ht="63.75">
      <c r="A53" s="47"/>
      <c r="B53" s="59" t="s">
        <v>125</v>
      </c>
      <c r="C53" s="149"/>
      <c r="D53" s="151"/>
      <c r="E53" s="149"/>
      <c r="F53" s="149"/>
      <c r="G53" s="47" t="s">
        <v>96</v>
      </c>
      <c r="H53" s="55">
        <f>H54+H55+H56</f>
        <v>0</v>
      </c>
      <c r="I53" s="55">
        <f>I54+I55+I56</f>
        <v>0</v>
      </c>
    </row>
    <row r="54" spans="1:9" ht="25.5">
      <c r="A54" s="47"/>
      <c r="B54" s="59" t="s">
        <v>124</v>
      </c>
      <c r="C54" s="149"/>
      <c r="D54" s="151"/>
      <c r="E54" s="149"/>
      <c r="F54" s="149"/>
      <c r="G54" s="50" t="s">
        <v>109</v>
      </c>
      <c r="H54" s="55"/>
      <c r="I54" s="55"/>
    </row>
    <row r="55" spans="1:9" ht="64.5" customHeight="1">
      <c r="A55" s="47"/>
      <c r="B55" s="80" t="s">
        <v>126</v>
      </c>
      <c r="C55" s="157"/>
      <c r="D55" s="156"/>
      <c r="E55" s="157"/>
      <c r="F55" s="157"/>
      <c r="G55" s="50" t="s">
        <v>108</v>
      </c>
      <c r="H55" s="55"/>
      <c r="I55" s="55"/>
    </row>
    <row r="56" spans="1:9" ht="24">
      <c r="A56" s="47"/>
      <c r="C56" s="60"/>
      <c r="D56" s="60"/>
      <c r="E56" s="60"/>
      <c r="F56" s="60"/>
      <c r="G56" s="49" t="s">
        <v>107</v>
      </c>
      <c r="H56" s="55"/>
      <c r="I56" s="55"/>
    </row>
    <row r="57" spans="1:9" ht="12.75">
      <c r="A57" s="47"/>
      <c r="C57" s="60"/>
      <c r="D57" s="60"/>
      <c r="E57" s="60"/>
      <c r="F57" s="60"/>
      <c r="G57" s="48"/>
      <c r="H57" s="55"/>
      <c r="I57" s="55"/>
    </row>
    <row r="58" spans="1:9" ht="20.25" customHeight="1">
      <c r="A58" s="47"/>
      <c r="C58" s="60"/>
      <c r="D58" s="60"/>
      <c r="E58" s="60"/>
      <c r="F58" s="60"/>
      <c r="G58" s="48"/>
      <c r="H58" s="55"/>
      <c r="I58" s="55"/>
    </row>
    <row r="59" spans="1:9" ht="12.75">
      <c r="A59" s="47"/>
      <c r="B59" s="47"/>
      <c r="C59" s="60"/>
      <c r="D59" s="60"/>
      <c r="E59" s="60"/>
      <c r="F59" s="60"/>
      <c r="G59" s="47" t="s">
        <v>97</v>
      </c>
      <c r="H59" s="55">
        <f>H60+H61+H62</f>
        <v>65100</v>
      </c>
      <c r="I59" s="55">
        <f>I60+I61+I62</f>
        <v>65100</v>
      </c>
    </row>
    <row r="60" spans="1:9" ht="12.75">
      <c r="A60" s="47"/>
      <c r="B60" s="47"/>
      <c r="C60" s="60"/>
      <c r="D60" s="60"/>
      <c r="E60" s="60"/>
      <c r="F60" s="60"/>
      <c r="G60" s="50" t="s">
        <v>109</v>
      </c>
      <c r="H60" s="55">
        <f>19900-19900</f>
        <v>0</v>
      </c>
      <c r="I60" s="55">
        <f>19900-19900</f>
        <v>0</v>
      </c>
    </row>
    <row r="61" spans="1:9" ht="12.75">
      <c r="A61" s="47"/>
      <c r="B61" s="47"/>
      <c r="C61" s="60"/>
      <c r="D61" s="60"/>
      <c r="E61" s="60"/>
      <c r="F61" s="60"/>
      <c r="G61" s="50" t="s">
        <v>108</v>
      </c>
      <c r="H61" s="55"/>
      <c r="I61" s="55"/>
    </row>
    <row r="62" spans="1:9" ht="33" customHeight="1">
      <c r="A62" s="47"/>
      <c r="B62" s="47"/>
      <c r="C62" s="60"/>
      <c r="D62" s="60"/>
      <c r="E62" s="60"/>
      <c r="F62" s="60"/>
      <c r="G62" s="49" t="s">
        <v>107</v>
      </c>
      <c r="H62" s="55">
        <v>65100</v>
      </c>
      <c r="I62" s="55">
        <v>65100</v>
      </c>
    </row>
    <row r="63" spans="1:9" ht="45" customHeight="1">
      <c r="A63" s="47"/>
      <c r="B63" s="47"/>
      <c r="C63" s="60"/>
      <c r="D63" s="60"/>
      <c r="E63" s="60"/>
      <c r="F63" s="60"/>
      <c r="G63" s="48" t="s">
        <v>98</v>
      </c>
      <c r="H63" s="55"/>
      <c r="I63" s="55"/>
    </row>
    <row r="64" spans="1:9" ht="39.75" customHeight="1">
      <c r="A64" s="42"/>
      <c r="B64" s="42"/>
      <c r="C64" s="58"/>
      <c r="D64" s="58"/>
      <c r="E64" s="58"/>
      <c r="F64" s="58"/>
      <c r="G64" s="42"/>
      <c r="H64" s="68"/>
      <c r="I64" s="68"/>
    </row>
    <row r="65" spans="1:9" ht="56.25" customHeight="1">
      <c r="A65" s="47" t="s">
        <v>32</v>
      </c>
      <c r="B65" s="81" t="s">
        <v>113</v>
      </c>
      <c r="C65" s="148" t="s">
        <v>100</v>
      </c>
      <c r="D65" s="150" t="s">
        <v>22</v>
      </c>
      <c r="E65" s="148">
        <v>720</v>
      </c>
      <c r="F65" s="148">
        <v>72095</v>
      </c>
      <c r="G65" s="64" t="s">
        <v>95</v>
      </c>
      <c r="H65" s="63">
        <f>H66+H72</f>
        <v>318502</v>
      </c>
      <c r="I65" s="63">
        <f>I66+I72</f>
        <v>315086</v>
      </c>
    </row>
    <row r="66" spans="1:9" ht="74.25" customHeight="1">
      <c r="A66" s="47"/>
      <c r="B66" s="59" t="s">
        <v>125</v>
      </c>
      <c r="C66" s="149"/>
      <c r="D66" s="151"/>
      <c r="E66" s="149"/>
      <c r="F66" s="149"/>
      <c r="G66" s="47" t="s">
        <v>96</v>
      </c>
      <c r="H66" s="55">
        <f>H67+H68+H69</f>
        <v>0</v>
      </c>
      <c r="I66" s="55">
        <f>I67+I68+I69</f>
        <v>0</v>
      </c>
    </row>
    <row r="67" spans="1:9" ht="39" customHeight="1">
      <c r="A67" s="47"/>
      <c r="B67" s="59" t="s">
        <v>124</v>
      </c>
      <c r="C67" s="149"/>
      <c r="D67" s="151"/>
      <c r="E67" s="149"/>
      <c r="F67" s="149"/>
      <c r="G67" s="50" t="s">
        <v>109</v>
      </c>
      <c r="H67" s="55"/>
      <c r="I67" s="55"/>
    </row>
    <row r="68" spans="1:9" ht="54" customHeight="1">
      <c r="A68" s="47"/>
      <c r="B68" s="80" t="s">
        <v>123</v>
      </c>
      <c r="C68" s="157"/>
      <c r="D68" s="156"/>
      <c r="E68" s="157"/>
      <c r="F68" s="157"/>
      <c r="G68" s="50" t="s">
        <v>108</v>
      </c>
      <c r="H68" s="55"/>
      <c r="I68" s="55"/>
    </row>
    <row r="69" spans="1:9" ht="24">
      <c r="A69" s="47"/>
      <c r="C69" s="60"/>
      <c r="D69" s="60"/>
      <c r="E69" s="60"/>
      <c r="F69" s="60"/>
      <c r="G69" s="49" t="s">
        <v>107</v>
      </c>
      <c r="H69" s="55"/>
      <c r="I69" s="55"/>
    </row>
    <row r="70" spans="1:9" ht="12.75">
      <c r="A70" s="47"/>
      <c r="C70" s="60"/>
      <c r="D70" s="60"/>
      <c r="E70" s="60"/>
      <c r="F70" s="60"/>
      <c r="G70" s="48"/>
      <c r="H70" s="55"/>
      <c r="I70" s="55"/>
    </row>
    <row r="71" spans="1:9" ht="12.75">
      <c r="A71" s="47"/>
      <c r="C71" s="60"/>
      <c r="D71" s="60"/>
      <c r="E71" s="60"/>
      <c r="F71" s="60"/>
      <c r="G71" s="48"/>
      <c r="H71" s="55"/>
      <c r="I71" s="55"/>
    </row>
    <row r="72" spans="1:9" ht="12.75">
      <c r="A72" s="47"/>
      <c r="B72" s="47"/>
      <c r="C72" s="60"/>
      <c r="D72" s="60"/>
      <c r="E72" s="60"/>
      <c r="F72" s="60"/>
      <c r="G72" s="47" t="s">
        <v>97</v>
      </c>
      <c r="H72" s="55">
        <f>H73+H74+H75</f>
        <v>318502</v>
      </c>
      <c r="I72" s="55">
        <f>I73+I74+I75</f>
        <v>315086</v>
      </c>
    </row>
    <row r="73" spans="1:9" ht="12.75">
      <c r="A73" s="47"/>
      <c r="B73" s="47"/>
      <c r="C73" s="60"/>
      <c r="D73" s="60"/>
      <c r="E73" s="60"/>
      <c r="F73" s="60"/>
      <c r="G73" s="50" t="s">
        <v>109</v>
      </c>
      <c r="H73" s="55">
        <v>63416</v>
      </c>
      <c r="I73" s="55">
        <v>60000</v>
      </c>
    </row>
    <row r="74" spans="1:9" ht="12.75">
      <c r="A74" s="47"/>
      <c r="B74" s="47"/>
      <c r="C74" s="60"/>
      <c r="D74" s="60"/>
      <c r="E74" s="60"/>
      <c r="F74" s="60"/>
      <c r="G74" s="50" t="s">
        <v>108</v>
      </c>
      <c r="H74" s="55"/>
      <c r="I74" s="55"/>
    </row>
    <row r="75" spans="1:9" ht="24">
      <c r="A75" s="47"/>
      <c r="B75" s="47"/>
      <c r="C75" s="60"/>
      <c r="D75" s="60"/>
      <c r="E75" s="60"/>
      <c r="F75" s="60"/>
      <c r="G75" s="49" t="s">
        <v>107</v>
      </c>
      <c r="H75" s="55">
        <v>255086</v>
      </c>
      <c r="I75" s="55">
        <v>255086</v>
      </c>
    </row>
    <row r="76" spans="1:9" ht="36">
      <c r="A76" s="47"/>
      <c r="B76" s="47"/>
      <c r="C76" s="60"/>
      <c r="D76" s="60"/>
      <c r="E76" s="60"/>
      <c r="F76" s="60"/>
      <c r="G76" s="48" t="s">
        <v>98</v>
      </c>
      <c r="H76" s="55"/>
      <c r="I76" s="55"/>
    </row>
    <row r="77" spans="1:9" ht="12.75">
      <c r="A77" s="42"/>
      <c r="B77" s="42"/>
      <c r="C77" s="58"/>
      <c r="D77" s="58"/>
      <c r="E77" s="58"/>
      <c r="F77" s="58"/>
      <c r="G77" s="42"/>
      <c r="H77" s="68"/>
      <c r="I77" s="55"/>
    </row>
    <row r="78" spans="1:9" ht="38.25" customHeight="1">
      <c r="A78" s="47" t="s">
        <v>34</v>
      </c>
      <c r="B78" s="67" t="s">
        <v>118</v>
      </c>
      <c r="C78" s="148" t="s">
        <v>100</v>
      </c>
      <c r="D78" s="164" t="s">
        <v>101</v>
      </c>
      <c r="E78" s="148">
        <v>853</v>
      </c>
      <c r="F78" s="148">
        <v>85395</v>
      </c>
      <c r="G78" s="64" t="s">
        <v>95</v>
      </c>
      <c r="H78" s="63">
        <f>H79+H85</f>
        <v>165981</v>
      </c>
      <c r="I78" s="63">
        <f>I79+I85</f>
        <v>102985</v>
      </c>
    </row>
    <row r="79" spans="1:9" ht="25.5">
      <c r="A79" s="47"/>
      <c r="B79" s="67" t="s">
        <v>122</v>
      </c>
      <c r="C79" s="149"/>
      <c r="D79" s="165"/>
      <c r="E79" s="149"/>
      <c r="F79" s="149"/>
      <c r="G79" s="47" t="s">
        <v>96</v>
      </c>
      <c r="H79" s="55">
        <f>H80+H81+H82</f>
        <v>152581</v>
      </c>
      <c r="I79" s="55">
        <f>I80+I81+I82</f>
        <v>102985</v>
      </c>
    </row>
    <row r="80" spans="1:9" ht="88.5" customHeight="1">
      <c r="A80" s="47"/>
      <c r="B80" s="67" t="s">
        <v>121</v>
      </c>
      <c r="C80" s="149"/>
      <c r="D80" s="165"/>
      <c r="E80" s="149"/>
      <c r="F80" s="149"/>
      <c r="G80" s="50" t="s">
        <v>109</v>
      </c>
      <c r="H80" s="55"/>
      <c r="I80" s="55"/>
    </row>
    <row r="81" spans="1:9" ht="53.25" customHeight="1">
      <c r="A81" s="47"/>
      <c r="B81" s="79" t="s">
        <v>120</v>
      </c>
      <c r="C81" s="157"/>
      <c r="D81" s="166"/>
      <c r="E81" s="157"/>
      <c r="F81" s="157"/>
      <c r="G81" s="50" t="s">
        <v>108</v>
      </c>
      <c r="H81" s="55">
        <v>22887</v>
      </c>
      <c r="I81" s="55">
        <f>13868+1637</f>
        <v>15505</v>
      </c>
    </row>
    <row r="82" spans="1:9" ht="24">
      <c r="A82" s="47"/>
      <c r="B82" s="73"/>
      <c r="C82" s="65"/>
      <c r="D82" s="72"/>
      <c r="E82" s="71"/>
      <c r="F82" s="60"/>
      <c r="G82" s="49" t="s">
        <v>107</v>
      </c>
      <c r="H82" s="55">
        <v>129694</v>
      </c>
      <c r="I82" s="55">
        <f>3562+1261+51514+7871+14374+8898</f>
        <v>87480</v>
      </c>
    </row>
    <row r="83" spans="1:9" ht="12.75">
      <c r="A83" s="47"/>
      <c r="C83" s="60"/>
      <c r="D83" s="60"/>
      <c r="E83" s="60"/>
      <c r="F83" s="60"/>
      <c r="G83" s="48"/>
      <c r="H83" s="55"/>
      <c r="I83" s="55"/>
    </row>
    <row r="84" spans="1:9" ht="12.75">
      <c r="A84" s="47"/>
      <c r="C84" s="60"/>
      <c r="D84" s="60"/>
      <c r="E84" s="60"/>
      <c r="F84" s="60"/>
      <c r="G84" s="48"/>
      <c r="H84" s="55"/>
      <c r="I84" s="55"/>
    </row>
    <row r="85" spans="1:9" ht="12.75">
      <c r="A85" s="47"/>
      <c r="B85" s="47"/>
      <c r="C85" s="60"/>
      <c r="D85" s="60"/>
      <c r="E85" s="60"/>
      <c r="F85" s="60"/>
      <c r="G85" s="47" t="s">
        <v>97</v>
      </c>
      <c r="H85" s="55">
        <f>H86+H87+H88</f>
        <v>13400</v>
      </c>
      <c r="I85" s="55">
        <f>I86+I87+I88</f>
        <v>0</v>
      </c>
    </row>
    <row r="86" spans="1:9" ht="12.75">
      <c r="A86" s="47"/>
      <c r="B86" s="47"/>
      <c r="C86" s="60"/>
      <c r="D86" s="60"/>
      <c r="E86" s="60"/>
      <c r="F86" s="60"/>
      <c r="G86" s="50" t="s">
        <v>109</v>
      </c>
      <c r="H86" s="55"/>
      <c r="I86" s="55"/>
    </row>
    <row r="87" spans="1:9" ht="12.75">
      <c r="A87" s="47"/>
      <c r="B87" s="47"/>
      <c r="C87" s="60"/>
      <c r="D87" s="60"/>
      <c r="E87" s="60"/>
      <c r="F87" s="60"/>
      <c r="G87" s="50" t="s">
        <v>108</v>
      </c>
      <c r="H87" s="55">
        <v>2010</v>
      </c>
      <c r="I87" s="55"/>
    </row>
    <row r="88" spans="1:9" ht="24">
      <c r="A88" s="47"/>
      <c r="B88" s="47"/>
      <c r="C88" s="60"/>
      <c r="D88" s="60"/>
      <c r="E88" s="60"/>
      <c r="F88" s="60"/>
      <c r="G88" s="49" t="s">
        <v>107</v>
      </c>
      <c r="H88" s="55">
        <v>11390</v>
      </c>
      <c r="I88" s="55"/>
    </row>
    <row r="89" spans="1:9" ht="36">
      <c r="A89" s="47"/>
      <c r="B89" s="47"/>
      <c r="C89" s="60"/>
      <c r="D89" s="60"/>
      <c r="E89" s="60"/>
      <c r="F89" s="60"/>
      <c r="G89" s="48" t="s">
        <v>98</v>
      </c>
      <c r="H89" s="55"/>
      <c r="I89" s="55"/>
    </row>
    <row r="90" spans="1:9" ht="56.25" customHeight="1">
      <c r="A90" s="42"/>
      <c r="B90" s="42"/>
      <c r="C90" s="58"/>
      <c r="D90" s="58"/>
      <c r="E90" s="58"/>
      <c r="F90" s="58"/>
      <c r="G90" s="42"/>
      <c r="H90" s="68"/>
      <c r="I90" s="68"/>
    </row>
    <row r="91" spans="1:9" ht="32.25" customHeight="1">
      <c r="A91" s="47" t="s">
        <v>36</v>
      </c>
      <c r="B91" s="75" t="s">
        <v>118</v>
      </c>
      <c r="C91" s="148" t="s">
        <v>100</v>
      </c>
      <c r="D91" s="168" t="s">
        <v>102</v>
      </c>
      <c r="E91" s="77"/>
      <c r="F91" s="77"/>
      <c r="G91" s="76" t="s">
        <v>95</v>
      </c>
      <c r="H91" s="63">
        <f>H92+H98</f>
        <v>341264</v>
      </c>
      <c r="I91" s="63">
        <f>I92+I98</f>
        <v>341264</v>
      </c>
    </row>
    <row r="92" spans="1:9" ht="24.75" customHeight="1">
      <c r="A92" s="47"/>
      <c r="B92" s="75" t="s">
        <v>119</v>
      </c>
      <c r="C92" s="149"/>
      <c r="D92" s="169"/>
      <c r="E92" s="70"/>
      <c r="F92" s="70"/>
      <c r="G92" s="56" t="s">
        <v>96</v>
      </c>
      <c r="H92" s="55">
        <f>H93+H94+H95</f>
        <v>337276</v>
      </c>
      <c r="I92" s="55">
        <f>I93+I94+I95</f>
        <v>337276</v>
      </c>
    </row>
    <row r="93" spans="1:9" ht="40.5" customHeight="1" hidden="1">
      <c r="A93" s="47"/>
      <c r="B93" s="75"/>
      <c r="C93" s="149"/>
      <c r="D93" s="169"/>
      <c r="E93" s="70"/>
      <c r="F93" s="70"/>
      <c r="G93" s="74"/>
      <c r="H93" s="55"/>
      <c r="I93" s="55"/>
    </row>
    <row r="94" spans="1:9" ht="49.5" customHeight="1">
      <c r="A94" s="47"/>
      <c r="B94" s="78" t="s">
        <v>116</v>
      </c>
      <c r="C94" s="157"/>
      <c r="D94" s="170"/>
      <c r="E94" s="70">
        <v>853</v>
      </c>
      <c r="F94" s="70">
        <v>85395</v>
      </c>
      <c r="G94" s="74" t="s">
        <v>108</v>
      </c>
      <c r="H94" s="55">
        <f>I94</f>
        <v>16965</v>
      </c>
      <c r="I94" s="55">
        <v>16965</v>
      </c>
    </row>
    <row r="95" spans="1:9" ht="56.25" customHeight="1">
      <c r="A95" s="47"/>
      <c r="B95" s="73"/>
      <c r="C95" s="60"/>
      <c r="D95" s="72"/>
      <c r="E95" s="71">
        <v>853</v>
      </c>
      <c r="F95" s="60">
        <v>85395</v>
      </c>
      <c r="G95" s="49" t="s">
        <v>107</v>
      </c>
      <c r="H95" s="55">
        <f>I95</f>
        <v>320311</v>
      </c>
      <c r="I95" s="55">
        <v>320311</v>
      </c>
    </row>
    <row r="96" spans="1:9" ht="15.75" customHeight="1">
      <c r="A96" s="47"/>
      <c r="C96" s="60"/>
      <c r="D96" s="60"/>
      <c r="E96" s="60"/>
      <c r="F96" s="60"/>
      <c r="G96" s="48"/>
      <c r="H96" s="55"/>
      <c r="I96" s="55"/>
    </row>
    <row r="97" spans="1:9" ht="17.25" customHeight="1">
      <c r="A97" s="47"/>
      <c r="C97" s="60"/>
      <c r="D97" s="60"/>
      <c r="E97" s="60"/>
      <c r="F97" s="60"/>
      <c r="G97" s="48"/>
      <c r="H97" s="55"/>
      <c r="I97" s="55"/>
    </row>
    <row r="98" spans="1:9" ht="21.75" customHeight="1">
      <c r="A98" s="47"/>
      <c r="B98" s="47"/>
      <c r="C98" s="60"/>
      <c r="D98" s="60"/>
      <c r="E98" s="60"/>
      <c r="F98" s="60"/>
      <c r="G98" s="47" t="s">
        <v>97</v>
      </c>
      <c r="H98" s="55">
        <f>H99+H100+H101</f>
        <v>3988</v>
      </c>
      <c r="I98" s="55">
        <f>I99+I100+I101</f>
        <v>3988</v>
      </c>
    </row>
    <row r="99" spans="1:9" ht="20.25" customHeight="1">
      <c r="A99" s="47"/>
      <c r="B99" s="47"/>
      <c r="C99" s="60"/>
      <c r="D99" s="60"/>
      <c r="E99" s="60"/>
      <c r="F99" s="60"/>
      <c r="G99" s="50" t="s">
        <v>109</v>
      </c>
      <c r="H99" s="55"/>
      <c r="I99" s="55"/>
    </row>
    <row r="100" spans="1:9" ht="19.5" customHeight="1">
      <c r="A100" s="47"/>
      <c r="B100" s="47"/>
      <c r="C100" s="60"/>
      <c r="D100" s="60"/>
      <c r="E100" s="60">
        <v>853</v>
      </c>
      <c r="F100" s="60">
        <v>85395</v>
      </c>
      <c r="G100" s="50" t="s">
        <v>108</v>
      </c>
      <c r="H100" s="55">
        <f>I100</f>
        <v>598</v>
      </c>
      <c r="I100" s="55">
        <f>201+397</f>
        <v>598</v>
      </c>
    </row>
    <row r="101" spans="1:9" ht="27" customHeight="1">
      <c r="A101" s="47"/>
      <c r="B101" s="47"/>
      <c r="C101" s="60"/>
      <c r="D101" s="60"/>
      <c r="E101" s="60">
        <v>853</v>
      </c>
      <c r="F101" s="60">
        <v>85395</v>
      </c>
      <c r="G101" s="49" t="s">
        <v>107</v>
      </c>
      <c r="H101" s="55">
        <f>I101</f>
        <v>3390</v>
      </c>
      <c r="I101" s="55">
        <f>3787-397</f>
        <v>3390</v>
      </c>
    </row>
    <row r="102" spans="1:9" ht="39" customHeight="1">
      <c r="A102" s="47"/>
      <c r="B102" s="47"/>
      <c r="C102" s="60"/>
      <c r="D102" s="60"/>
      <c r="E102" s="60"/>
      <c r="F102" s="60"/>
      <c r="G102" s="48" t="s">
        <v>98</v>
      </c>
      <c r="H102" s="55"/>
      <c r="I102" s="55"/>
    </row>
    <row r="103" spans="1:9" ht="11.25" customHeight="1">
      <c r="A103" s="47"/>
      <c r="B103" s="42"/>
      <c r="C103" s="58"/>
      <c r="D103" s="58"/>
      <c r="E103" s="58"/>
      <c r="F103" s="58"/>
      <c r="G103" s="42"/>
      <c r="H103" s="68"/>
      <c r="I103" s="68"/>
    </row>
    <row r="104" spans="1:9" ht="25.5" customHeight="1">
      <c r="A104" s="47" t="s">
        <v>38</v>
      </c>
      <c r="B104" s="75" t="s">
        <v>118</v>
      </c>
      <c r="C104" s="148" t="s">
        <v>103</v>
      </c>
      <c r="D104" s="150" t="s">
        <v>22</v>
      </c>
      <c r="E104" s="77"/>
      <c r="F104" s="77"/>
      <c r="G104" s="76" t="s">
        <v>95</v>
      </c>
      <c r="H104" s="63">
        <f>H105+H111</f>
        <v>346733</v>
      </c>
      <c r="I104" s="63">
        <f>I105+I111</f>
        <v>229083</v>
      </c>
    </row>
    <row r="105" spans="1:9" ht="38.25">
      <c r="A105" s="47"/>
      <c r="B105" s="75" t="s">
        <v>117</v>
      </c>
      <c r="C105" s="149"/>
      <c r="D105" s="151"/>
      <c r="E105" s="70"/>
      <c r="F105" s="70"/>
      <c r="G105" s="56" t="s">
        <v>96</v>
      </c>
      <c r="H105" s="55">
        <v>346733</v>
      </c>
      <c r="I105" s="55">
        <f>I106+I107+I108</f>
        <v>229083</v>
      </c>
    </row>
    <row r="106" spans="1:9" ht="12.75">
      <c r="A106" s="47"/>
      <c r="B106" s="146" t="s">
        <v>138</v>
      </c>
      <c r="C106" s="149"/>
      <c r="D106" s="151"/>
      <c r="E106" s="70"/>
      <c r="F106" s="70"/>
      <c r="G106" s="74"/>
      <c r="H106" s="55"/>
      <c r="I106" s="55"/>
    </row>
    <row r="107" spans="1:9" ht="81" customHeight="1">
      <c r="A107" s="47"/>
      <c r="B107" s="147"/>
      <c r="C107" s="149"/>
      <c r="D107" s="151"/>
      <c r="E107" s="70">
        <v>853</v>
      </c>
      <c r="F107" s="70">
        <v>85395</v>
      </c>
      <c r="G107" s="74" t="s">
        <v>108</v>
      </c>
      <c r="H107" s="55">
        <v>0</v>
      </c>
      <c r="I107" s="55">
        <v>0</v>
      </c>
    </row>
    <row r="108" spans="1:9" ht="24">
      <c r="A108" s="47"/>
      <c r="B108" s="146" t="s">
        <v>137</v>
      </c>
      <c r="C108" s="60"/>
      <c r="D108" s="72"/>
      <c r="E108" s="71"/>
      <c r="F108" s="60"/>
      <c r="G108" s="49" t="s">
        <v>107</v>
      </c>
      <c r="H108" s="55">
        <v>346733</v>
      </c>
      <c r="I108" s="55">
        <v>229083</v>
      </c>
    </row>
    <row r="109" spans="1:9" ht="12.75">
      <c r="A109" s="47"/>
      <c r="B109" s="147"/>
      <c r="C109" s="58"/>
      <c r="D109" s="58"/>
      <c r="E109" s="58"/>
      <c r="F109" s="58"/>
      <c r="G109" s="48"/>
      <c r="H109" s="55"/>
      <c r="I109" s="55"/>
    </row>
    <row r="110" spans="1:9" ht="12.75">
      <c r="A110" s="47"/>
      <c r="C110" s="60"/>
      <c r="D110" s="60"/>
      <c r="E110" s="60"/>
      <c r="F110" s="60"/>
      <c r="G110" s="48"/>
      <c r="H110" s="55"/>
      <c r="I110" s="55"/>
    </row>
    <row r="111" spans="1:9" ht="12.75">
      <c r="A111" s="47"/>
      <c r="B111" s="47"/>
      <c r="C111" s="60"/>
      <c r="D111" s="60"/>
      <c r="E111" s="60"/>
      <c r="F111" s="60"/>
      <c r="G111" s="47" t="s">
        <v>97</v>
      </c>
      <c r="H111" s="55">
        <v>0</v>
      </c>
      <c r="I111" s="55">
        <v>0</v>
      </c>
    </row>
    <row r="112" spans="1:9" ht="12.75">
      <c r="A112" s="47"/>
      <c r="B112" s="47"/>
      <c r="C112" s="60"/>
      <c r="D112" s="60"/>
      <c r="E112" s="60"/>
      <c r="F112" s="60"/>
      <c r="G112" s="50" t="s">
        <v>109</v>
      </c>
      <c r="H112" s="55"/>
      <c r="I112" s="55"/>
    </row>
    <row r="113" spans="1:9" ht="12.75">
      <c r="A113" s="47"/>
      <c r="B113" s="47"/>
      <c r="C113" s="60"/>
      <c r="D113" s="60"/>
      <c r="E113" s="60"/>
      <c r="F113" s="60"/>
      <c r="G113" s="50" t="s">
        <v>108</v>
      </c>
      <c r="H113" s="55">
        <f>I113</f>
        <v>0</v>
      </c>
      <c r="I113" s="55">
        <v>0</v>
      </c>
    </row>
    <row r="114" spans="1:9" ht="24">
      <c r="A114" s="47"/>
      <c r="B114" s="47"/>
      <c r="C114" s="60"/>
      <c r="D114" s="60"/>
      <c r="E114" s="60"/>
      <c r="F114" s="60"/>
      <c r="G114" s="49" t="s">
        <v>107</v>
      </c>
      <c r="H114" s="55">
        <f>I114</f>
        <v>0</v>
      </c>
      <c r="I114" s="55">
        <v>0</v>
      </c>
    </row>
    <row r="115" spans="1:9" ht="36">
      <c r="A115" s="47"/>
      <c r="B115" s="47"/>
      <c r="C115" s="60"/>
      <c r="D115" s="60"/>
      <c r="E115" s="60"/>
      <c r="F115" s="60"/>
      <c r="G115" s="48" t="s">
        <v>98</v>
      </c>
      <c r="H115" s="55"/>
      <c r="I115" s="55"/>
    </row>
    <row r="116" spans="1:9" ht="12.75">
      <c r="A116" s="47"/>
      <c r="B116" s="42"/>
      <c r="C116" s="58"/>
      <c r="D116" s="58"/>
      <c r="E116" s="58"/>
      <c r="F116" s="58"/>
      <c r="G116" s="42"/>
      <c r="H116" s="68"/>
      <c r="I116" s="68"/>
    </row>
    <row r="117" spans="1:9" ht="12.75" customHeight="1">
      <c r="A117" s="47"/>
      <c r="B117" s="152" t="s">
        <v>115</v>
      </c>
      <c r="C117" s="148" t="s">
        <v>104</v>
      </c>
      <c r="D117" s="150" t="s">
        <v>22</v>
      </c>
      <c r="E117" s="148">
        <v>900</v>
      </c>
      <c r="F117" s="148">
        <v>90019</v>
      </c>
      <c r="G117" s="64" t="s">
        <v>95</v>
      </c>
      <c r="H117" s="55">
        <v>12699908</v>
      </c>
      <c r="I117" s="55">
        <f>I118+I124</f>
        <v>2197119</v>
      </c>
    </row>
    <row r="118" spans="1:9" ht="63" customHeight="1">
      <c r="A118" s="47" t="s">
        <v>40</v>
      </c>
      <c r="B118" s="153"/>
      <c r="C118" s="149"/>
      <c r="D118" s="151"/>
      <c r="E118" s="149"/>
      <c r="F118" s="149"/>
      <c r="G118" s="47" t="s">
        <v>96</v>
      </c>
      <c r="H118" s="55">
        <v>0</v>
      </c>
      <c r="I118" s="55">
        <v>0</v>
      </c>
    </row>
    <row r="119" spans="1:9" ht="57.75" customHeight="1">
      <c r="A119" s="47"/>
      <c r="B119" s="154" t="s">
        <v>114</v>
      </c>
      <c r="C119" s="149"/>
      <c r="D119" s="151"/>
      <c r="E119" s="149"/>
      <c r="F119" s="149"/>
      <c r="G119" s="50" t="s">
        <v>109</v>
      </c>
      <c r="H119" s="55"/>
      <c r="I119" s="55"/>
    </row>
    <row r="120" spans="1:9" ht="62.25" customHeight="1">
      <c r="A120" s="47"/>
      <c r="B120" s="155"/>
      <c r="C120" s="157"/>
      <c r="D120" s="156"/>
      <c r="E120" s="157"/>
      <c r="F120" s="157"/>
      <c r="G120" s="50" t="s">
        <v>108</v>
      </c>
      <c r="H120" s="55"/>
      <c r="I120" s="55"/>
    </row>
    <row r="121" spans="1:9" ht="24">
      <c r="A121" s="47"/>
      <c r="B121" s="161"/>
      <c r="C121" s="70"/>
      <c r="D121" s="60"/>
      <c r="E121" s="60"/>
      <c r="F121" s="60"/>
      <c r="G121" s="49" t="s">
        <v>107</v>
      </c>
      <c r="H121" s="55"/>
      <c r="I121" s="55"/>
    </row>
    <row r="122" spans="1:9" ht="12.75">
      <c r="A122" s="47"/>
      <c r="B122" s="162"/>
      <c r="C122" s="70"/>
      <c r="D122" s="60"/>
      <c r="E122" s="60"/>
      <c r="F122" s="60"/>
      <c r="G122" s="48"/>
      <c r="H122" s="55"/>
      <c r="I122" s="55"/>
    </row>
    <row r="123" spans="1:9" ht="12.75">
      <c r="A123" s="47"/>
      <c r="B123" s="162"/>
      <c r="C123" s="70"/>
      <c r="D123" s="60"/>
      <c r="E123" s="60"/>
      <c r="F123" s="60"/>
      <c r="G123" s="48"/>
      <c r="H123" s="55"/>
      <c r="I123" s="55"/>
    </row>
    <row r="124" spans="1:9" ht="12.75">
      <c r="A124" s="47"/>
      <c r="B124" s="162"/>
      <c r="C124" s="70"/>
      <c r="D124" s="60"/>
      <c r="E124" s="60"/>
      <c r="F124" s="60"/>
      <c r="G124" s="47" t="s">
        <v>97</v>
      </c>
      <c r="H124" s="55">
        <f>H125+H127</f>
        <v>12699908</v>
      </c>
      <c r="I124" s="55">
        <f>I125+I127</f>
        <v>2197119</v>
      </c>
    </row>
    <row r="125" spans="1:9" ht="12.75">
      <c r="A125" s="47"/>
      <c r="B125" s="162"/>
      <c r="C125" s="70"/>
      <c r="D125" s="60"/>
      <c r="E125" s="60"/>
      <c r="F125" s="60"/>
      <c r="G125" s="50" t="s">
        <v>109</v>
      </c>
      <c r="H125" s="55">
        <f>H117-H127</f>
        <v>3223572</v>
      </c>
      <c r="I125" s="55">
        <v>561503</v>
      </c>
    </row>
    <row r="126" spans="1:9" ht="12.75">
      <c r="A126" s="47"/>
      <c r="B126" s="162"/>
      <c r="C126" s="70"/>
      <c r="D126" s="60"/>
      <c r="E126" s="60"/>
      <c r="F126" s="60"/>
      <c r="G126" s="50" t="s">
        <v>108</v>
      </c>
      <c r="H126" s="55"/>
      <c r="I126" s="55"/>
    </row>
    <row r="127" spans="1:9" ht="24">
      <c r="A127" s="47"/>
      <c r="B127" s="162"/>
      <c r="C127" s="70"/>
      <c r="D127" s="60"/>
      <c r="E127" s="60"/>
      <c r="F127" s="60"/>
      <c r="G127" s="49" t="s">
        <v>107</v>
      </c>
      <c r="H127" s="55">
        <v>9476336</v>
      </c>
      <c r="I127" s="55">
        <v>1635616</v>
      </c>
    </row>
    <row r="128" spans="1:9" ht="36">
      <c r="A128" s="47"/>
      <c r="B128" s="162"/>
      <c r="C128" s="70"/>
      <c r="D128" s="60"/>
      <c r="E128" s="60"/>
      <c r="F128" s="60"/>
      <c r="G128" s="48" t="s">
        <v>98</v>
      </c>
      <c r="H128" s="55"/>
      <c r="I128" s="55"/>
    </row>
    <row r="129" spans="1:9" ht="12.75">
      <c r="A129" s="42"/>
      <c r="B129" s="163"/>
      <c r="C129" s="69"/>
      <c r="D129" s="58"/>
      <c r="E129" s="58"/>
      <c r="F129" s="58"/>
      <c r="G129" s="42"/>
      <c r="H129" s="68"/>
      <c r="I129" s="68"/>
    </row>
    <row r="130" spans="1:9" s="62" customFormat="1" ht="38.25">
      <c r="A130" s="47" t="s">
        <v>43</v>
      </c>
      <c r="B130" s="67" t="s">
        <v>113</v>
      </c>
      <c r="C130" s="148" t="s">
        <v>105</v>
      </c>
      <c r="D130" s="150" t="s">
        <v>22</v>
      </c>
      <c r="E130" s="148">
        <v>921</v>
      </c>
      <c r="F130" s="148">
        <v>92120</v>
      </c>
      <c r="G130" s="64" t="s">
        <v>95</v>
      </c>
      <c r="H130" s="63">
        <f>6677636+18000+15000+100000</f>
        <v>6810636</v>
      </c>
      <c r="I130" s="63">
        <f>I131+I137</f>
        <v>4033541</v>
      </c>
    </row>
    <row r="131" spans="1:9" ht="51">
      <c r="A131" s="47"/>
      <c r="B131" s="59" t="s">
        <v>112</v>
      </c>
      <c r="C131" s="149"/>
      <c r="D131" s="151"/>
      <c r="E131" s="149"/>
      <c r="F131" s="149"/>
      <c r="G131" s="47" t="s">
        <v>96</v>
      </c>
      <c r="H131" s="55">
        <f>H132+H133+H134</f>
        <v>0</v>
      </c>
      <c r="I131" s="55">
        <f>I132+I133+I134</f>
        <v>0</v>
      </c>
    </row>
    <row r="132" spans="1:9" ht="51">
      <c r="A132" s="47"/>
      <c r="B132" s="61" t="s">
        <v>111</v>
      </c>
      <c r="C132" s="149"/>
      <c r="D132" s="151"/>
      <c r="E132" s="149"/>
      <c r="F132" s="149"/>
      <c r="G132" s="50" t="s">
        <v>109</v>
      </c>
      <c r="H132" s="55"/>
      <c r="I132" s="55"/>
    </row>
    <row r="133" spans="1:9" ht="51">
      <c r="A133" s="47"/>
      <c r="B133" s="59" t="s">
        <v>110</v>
      </c>
      <c r="C133" s="157"/>
      <c r="D133" s="156"/>
      <c r="E133" s="157"/>
      <c r="F133" s="157"/>
      <c r="G133" s="50" t="s">
        <v>108</v>
      </c>
      <c r="H133" s="55"/>
      <c r="I133" s="55"/>
    </row>
    <row r="134" spans="1:9" ht="24">
      <c r="A134" s="47"/>
      <c r="B134" s="57"/>
      <c r="C134" s="56"/>
      <c r="D134" s="47"/>
      <c r="E134" s="47"/>
      <c r="F134" s="47"/>
      <c r="G134" s="49" t="s">
        <v>107</v>
      </c>
      <c r="H134" s="55"/>
      <c r="I134" s="55"/>
    </row>
    <row r="135" spans="1:9" ht="12.75">
      <c r="A135" s="47"/>
      <c r="C135" s="47"/>
      <c r="D135" s="47"/>
      <c r="E135" s="47"/>
      <c r="F135" s="47"/>
      <c r="G135" s="48"/>
      <c r="H135" s="55"/>
      <c r="I135" s="55"/>
    </row>
    <row r="136" spans="1:9" ht="12.75">
      <c r="A136" s="47"/>
      <c r="C136" s="47"/>
      <c r="D136" s="47"/>
      <c r="E136" s="47"/>
      <c r="F136" s="47"/>
      <c r="G136" s="48"/>
      <c r="H136" s="55"/>
      <c r="I136" s="55"/>
    </row>
    <row r="137" spans="1:9" ht="12.75">
      <c r="A137" s="47"/>
      <c r="B137" s="47"/>
      <c r="C137" s="47"/>
      <c r="D137" s="47"/>
      <c r="E137" s="47"/>
      <c r="F137" s="47"/>
      <c r="G137" s="47" t="s">
        <v>97</v>
      </c>
      <c r="H137" s="55">
        <f>H138+H139+H140</f>
        <v>6810636</v>
      </c>
      <c r="I137" s="55">
        <f>I138+I139+I140</f>
        <v>4033541</v>
      </c>
    </row>
    <row r="138" spans="1:9" ht="12.75">
      <c r="A138" s="47"/>
      <c r="B138" s="47"/>
      <c r="C138" s="47"/>
      <c r="D138" s="47"/>
      <c r="E138" s="47"/>
      <c r="F138" s="47"/>
      <c r="G138" s="50" t="s">
        <v>109</v>
      </c>
      <c r="H138" s="55">
        <f>H130-H140</f>
        <v>3678984</v>
      </c>
      <c r="I138" s="55">
        <f>1900000+300000+18000+15000+100000</f>
        <v>2333000</v>
      </c>
    </row>
    <row r="139" spans="1:9" ht="12.75">
      <c r="A139" s="47"/>
      <c r="B139" s="47"/>
      <c r="C139" s="47"/>
      <c r="D139" s="47"/>
      <c r="E139" s="47"/>
      <c r="F139" s="47"/>
      <c r="G139" s="50" t="s">
        <v>108</v>
      </c>
      <c r="H139" s="55"/>
      <c r="I139" s="55"/>
    </row>
    <row r="140" spans="1:9" ht="24">
      <c r="A140" s="47"/>
      <c r="B140" s="47"/>
      <c r="C140" s="47"/>
      <c r="D140" s="47"/>
      <c r="E140" s="47"/>
      <c r="F140" s="47"/>
      <c r="G140" s="49" t="s">
        <v>107</v>
      </c>
      <c r="H140" s="55">
        <f>3031111+100541</f>
        <v>3131652</v>
      </c>
      <c r="I140" s="55">
        <f>1600000+100541</f>
        <v>1700541</v>
      </c>
    </row>
    <row r="141" spans="1:9" ht="36">
      <c r="A141" s="47"/>
      <c r="B141" s="47"/>
      <c r="C141" s="47"/>
      <c r="D141" s="47"/>
      <c r="E141" s="47"/>
      <c r="F141" s="47"/>
      <c r="G141" s="48" t="s">
        <v>98</v>
      </c>
      <c r="H141" s="55"/>
      <c r="I141" s="55"/>
    </row>
    <row r="142" spans="1:9" ht="12.75">
      <c r="A142" s="42"/>
      <c r="B142" s="42"/>
      <c r="C142" s="42"/>
      <c r="D142" s="42"/>
      <c r="E142" s="42"/>
      <c r="F142" s="42"/>
      <c r="G142" s="42"/>
      <c r="H142" s="55"/>
      <c r="I142" s="55"/>
    </row>
    <row r="143" spans="1:9" ht="12.75">
      <c r="A143" s="54"/>
      <c r="B143" s="54" t="s">
        <v>106</v>
      </c>
      <c r="C143" s="54"/>
      <c r="D143" s="54"/>
      <c r="E143" s="54"/>
      <c r="F143" s="54"/>
      <c r="G143" s="53"/>
      <c r="H143" s="52">
        <f>H130+H78+H65+H52+H39+H26+H13+H117+H91+H104</f>
        <v>31479884</v>
      </c>
      <c r="I143" s="51">
        <f>I130+I78+I65+I52+I39+I26+I13+I117+I91+I104</f>
        <v>13488632</v>
      </c>
    </row>
    <row r="144" spans="1:9" ht="12.75">
      <c r="A144" s="47"/>
      <c r="B144" s="47" t="s">
        <v>96</v>
      </c>
      <c r="C144" s="47"/>
      <c r="D144" s="47"/>
      <c r="E144" s="47"/>
      <c r="F144" s="47"/>
      <c r="G144" s="46"/>
      <c r="H144" s="45">
        <f>H131+H79+H66+H53+H40+H27+H14+H118+H92+H105</f>
        <v>836590</v>
      </c>
      <c r="I144" s="44">
        <f>I131+I79+I66+I53+I40+I27+I14+I118+I92+I105</f>
        <v>669344</v>
      </c>
    </row>
    <row r="145" spans="1:9" ht="12.75">
      <c r="A145" s="47"/>
      <c r="B145" s="50" t="s">
        <v>109</v>
      </c>
      <c r="C145" s="47"/>
      <c r="D145" s="47"/>
      <c r="E145" s="47"/>
      <c r="F145" s="47"/>
      <c r="G145" s="46"/>
      <c r="H145" s="45">
        <f>H132+H80+H67+H54+H41+H28+H15+H119+H93</f>
        <v>0</v>
      </c>
      <c r="I145" s="44">
        <f>I132+I80+I67+I54+I41+I28+I15+I119+I93</f>
        <v>0</v>
      </c>
    </row>
    <row r="146" spans="1:9" ht="12.75">
      <c r="A146" s="47"/>
      <c r="B146" s="50" t="s">
        <v>108</v>
      </c>
      <c r="C146" s="47"/>
      <c r="D146" s="47"/>
      <c r="E146" s="47"/>
      <c r="F146" s="47"/>
      <c r="G146" s="46"/>
      <c r="H146" s="45">
        <f>H133+H81+H68+H55+H42+H29+H16+H120+H94</f>
        <v>39852</v>
      </c>
      <c r="I146" s="44">
        <f>I133+I81+I68+I55+I42+I29+I16+I120+I94</f>
        <v>32470</v>
      </c>
    </row>
    <row r="147" spans="1:9" ht="24">
      <c r="A147" s="47"/>
      <c r="B147" s="49" t="s">
        <v>107</v>
      </c>
      <c r="C147" s="47"/>
      <c r="D147" s="47"/>
      <c r="E147" s="47"/>
      <c r="F147" s="47"/>
      <c r="G147" s="46"/>
      <c r="H147" s="45">
        <f>H134+H82+H69+H56+H43+H30+H17+H121+H95+H108</f>
        <v>796738</v>
      </c>
      <c r="I147" s="44">
        <f>I134+I82+I69+I56+I43+I30+I17+I121+I95+I108</f>
        <v>636874</v>
      </c>
    </row>
    <row r="148" spans="1:9" ht="36">
      <c r="A148" s="47"/>
      <c r="B148" s="48" t="s">
        <v>98</v>
      </c>
      <c r="C148" s="47"/>
      <c r="D148" s="47"/>
      <c r="E148" s="47"/>
      <c r="F148" s="47"/>
      <c r="G148" s="46"/>
      <c r="H148" s="45">
        <f aca="true" t="shared" si="0" ref="H148:I154">H135+H83+H70+H57+H44+H31+H18+H122+H96</f>
        <v>0</v>
      </c>
      <c r="I148" s="44">
        <f t="shared" si="0"/>
        <v>0</v>
      </c>
    </row>
    <row r="149" spans="1:9" ht="12.75">
      <c r="A149" s="47"/>
      <c r="B149" s="48"/>
      <c r="C149" s="47"/>
      <c r="D149" s="47"/>
      <c r="E149" s="47"/>
      <c r="F149" s="47"/>
      <c r="G149" s="46"/>
      <c r="H149" s="45">
        <f t="shared" si="0"/>
        <v>0</v>
      </c>
      <c r="I149" s="44">
        <f t="shared" si="0"/>
        <v>0</v>
      </c>
    </row>
    <row r="150" spans="1:9" ht="12.75">
      <c r="A150" s="47"/>
      <c r="B150" s="47" t="s">
        <v>97</v>
      </c>
      <c r="C150" s="47"/>
      <c r="D150" s="47"/>
      <c r="E150" s="47"/>
      <c r="F150" s="47"/>
      <c r="G150" s="46"/>
      <c r="H150" s="45">
        <f t="shared" si="0"/>
        <v>30643294</v>
      </c>
      <c r="I150" s="44">
        <f t="shared" si="0"/>
        <v>12819288</v>
      </c>
    </row>
    <row r="151" spans="1:9" ht="12.75">
      <c r="A151" s="47"/>
      <c r="B151" s="50" t="s">
        <v>109</v>
      </c>
      <c r="C151" s="47"/>
      <c r="D151" s="47"/>
      <c r="E151" s="47"/>
      <c r="F151" s="47"/>
      <c r="G151" s="46"/>
      <c r="H151" s="45">
        <f t="shared" si="0"/>
        <v>12800649</v>
      </c>
      <c r="I151" s="44">
        <f t="shared" si="0"/>
        <v>6188957</v>
      </c>
    </row>
    <row r="152" spans="1:9" ht="12.75">
      <c r="A152" s="47"/>
      <c r="B152" s="50" t="s">
        <v>108</v>
      </c>
      <c r="C152" s="47"/>
      <c r="D152" s="47"/>
      <c r="E152" s="47"/>
      <c r="F152" s="47"/>
      <c r="G152" s="46"/>
      <c r="H152" s="45">
        <f t="shared" si="0"/>
        <v>2608</v>
      </c>
      <c r="I152" s="44">
        <f t="shared" si="0"/>
        <v>598</v>
      </c>
    </row>
    <row r="153" spans="1:9" ht="24">
      <c r="A153" s="47"/>
      <c r="B153" s="49" t="s">
        <v>107</v>
      </c>
      <c r="C153" s="47"/>
      <c r="D153" s="47"/>
      <c r="E153" s="47"/>
      <c r="F153" s="47"/>
      <c r="G153" s="46"/>
      <c r="H153" s="45">
        <f t="shared" si="0"/>
        <v>17840037</v>
      </c>
      <c r="I153" s="44">
        <f t="shared" si="0"/>
        <v>6629733</v>
      </c>
    </row>
    <row r="154" spans="1:9" ht="36">
      <c r="A154" s="47"/>
      <c r="B154" s="48" t="s">
        <v>98</v>
      </c>
      <c r="C154" s="47"/>
      <c r="D154" s="47"/>
      <c r="E154" s="47"/>
      <c r="F154" s="47"/>
      <c r="G154" s="46"/>
      <c r="H154" s="45">
        <f t="shared" si="0"/>
        <v>0</v>
      </c>
      <c r="I154" s="44">
        <f t="shared" si="0"/>
        <v>0</v>
      </c>
    </row>
    <row r="155" spans="1:9" ht="12.75">
      <c r="A155" s="42"/>
      <c r="B155" s="43"/>
      <c r="C155" s="42"/>
      <c r="D155" s="42"/>
      <c r="E155" s="42"/>
      <c r="F155" s="42"/>
      <c r="G155" s="41"/>
      <c r="H155" s="40"/>
      <c r="I155" s="39"/>
    </row>
  </sheetData>
  <sheetProtection/>
  <mergeCells count="51">
    <mergeCell ref="A7:I7"/>
    <mergeCell ref="A10:A11"/>
    <mergeCell ref="B10:B11"/>
    <mergeCell ref="C10:C11"/>
    <mergeCell ref="D10:D11"/>
    <mergeCell ref="G10:H10"/>
    <mergeCell ref="I10:I11"/>
    <mergeCell ref="E10:E11"/>
    <mergeCell ref="F10:F11"/>
    <mergeCell ref="F13:F16"/>
    <mergeCell ref="C91:C94"/>
    <mergeCell ref="D91:D94"/>
    <mergeCell ref="D13:D16"/>
    <mergeCell ref="C13:C16"/>
    <mergeCell ref="F117:F120"/>
    <mergeCell ref="C117:C120"/>
    <mergeCell ref="D117:D120"/>
    <mergeCell ref="F78:F81"/>
    <mergeCell ref="G1:I4"/>
    <mergeCell ref="F130:F133"/>
    <mergeCell ref="F52:F55"/>
    <mergeCell ref="E65:E68"/>
    <mergeCell ref="F65:F68"/>
    <mergeCell ref="E78:E81"/>
    <mergeCell ref="E130:E133"/>
    <mergeCell ref="F26:F29"/>
    <mergeCell ref="F39:F42"/>
    <mergeCell ref="E39:E42"/>
    <mergeCell ref="D130:D133"/>
    <mergeCell ref="C130:C133"/>
    <mergeCell ref="C39:C42"/>
    <mergeCell ref="C65:C68"/>
    <mergeCell ref="D78:D81"/>
    <mergeCell ref="C78:C81"/>
    <mergeCell ref="D39:D42"/>
    <mergeCell ref="C52:C55"/>
    <mergeCell ref="D65:D68"/>
    <mergeCell ref="E13:E16"/>
    <mergeCell ref="E52:E55"/>
    <mergeCell ref="E26:E29"/>
    <mergeCell ref="B121:B129"/>
    <mergeCell ref="E117:E120"/>
    <mergeCell ref="B117:B118"/>
    <mergeCell ref="B119:B120"/>
    <mergeCell ref="D26:D29"/>
    <mergeCell ref="C26:C29"/>
    <mergeCell ref="D52:D55"/>
    <mergeCell ref="B108:B109"/>
    <mergeCell ref="C104:C107"/>
    <mergeCell ref="D104:D107"/>
    <mergeCell ref="B106:B107"/>
  </mergeCells>
  <printOptions/>
  <pageMargins left="0.7086614173228347" right="0.2755905511811024" top="0.3937007874015748" bottom="0.5905511811023623" header="0.31496062992125984" footer="0.3937007874015748"/>
  <pageSetup horizontalDpi="600" verticalDpi="600" orientation="portrait" paperSize="9" scale="83" r:id="rId1"/>
  <rowBreaks count="4" manualBreakCount="4">
    <brk id="38" max="255" man="1"/>
    <brk id="64" max="255" man="1"/>
    <brk id="90" max="255" man="1"/>
    <brk id="122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L1" sqref="L1:P3"/>
    </sheetView>
  </sheetViews>
  <sheetFormatPr defaultColWidth="9.140625" defaultRowHeight="15"/>
  <cols>
    <col min="1" max="1" width="5.140625" style="1" bestFit="1" customWidth="1"/>
    <col min="2" max="2" width="5.7109375" style="1" customWidth="1"/>
    <col min="3" max="3" width="6.57421875" style="1" customWidth="1"/>
    <col min="4" max="4" width="9.8515625" style="1" customWidth="1"/>
    <col min="5" max="5" width="10.00390625" style="1" customWidth="1"/>
    <col min="6" max="6" width="12.8515625" style="1" customWidth="1"/>
    <col min="7" max="7" width="9.57421875" style="1" customWidth="1"/>
    <col min="8" max="8" width="7.57421875" style="1" customWidth="1"/>
    <col min="9" max="9" width="6.28125" style="1" customWidth="1"/>
    <col min="10" max="10" width="9.8515625" style="1" customWidth="1"/>
    <col min="11" max="11" width="10.421875" style="0" customWidth="1"/>
    <col min="12" max="12" width="10.7109375" style="0" customWidth="1"/>
    <col min="13" max="13" width="8.57421875" style="0" customWidth="1"/>
    <col min="15" max="15" width="5.8515625" style="0" customWidth="1"/>
  </cols>
  <sheetData>
    <row r="1" spans="12:16" ht="14.25">
      <c r="L1" s="120" t="s">
        <v>193</v>
      </c>
      <c r="M1" s="120"/>
      <c r="N1" s="120"/>
      <c r="O1" s="120"/>
      <c r="P1" s="120"/>
    </row>
    <row r="2" spans="12:16" ht="14.25">
      <c r="L2" s="120"/>
      <c r="M2" s="120"/>
      <c r="N2" s="120"/>
      <c r="O2" s="120"/>
      <c r="P2" s="120"/>
    </row>
    <row r="3" spans="12:16" ht="30" customHeight="1">
      <c r="L3" s="120"/>
      <c r="M3" s="120"/>
      <c r="N3" s="120"/>
      <c r="O3" s="120"/>
      <c r="P3" s="120"/>
    </row>
    <row r="5" spans="1:17" ht="36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8"/>
    </row>
    <row r="6" spans="1:7" ht="6.75" customHeight="1">
      <c r="A6" s="19"/>
      <c r="B6" s="19"/>
      <c r="C6" s="19"/>
      <c r="D6" s="19"/>
      <c r="E6" s="19"/>
      <c r="F6" s="19"/>
      <c r="G6" s="19"/>
    </row>
    <row r="7" spans="1:16" s="24" customFormat="1" ht="7.5" customHeight="1">
      <c r="A7" s="20"/>
      <c r="B7" s="20"/>
      <c r="C7" s="20"/>
      <c r="D7" s="20"/>
      <c r="E7" s="20"/>
      <c r="F7" s="20"/>
      <c r="G7" s="21"/>
      <c r="H7" s="21"/>
      <c r="I7" s="21"/>
      <c r="J7" s="21"/>
      <c r="K7" s="21"/>
      <c r="L7" s="22"/>
      <c r="M7" s="22"/>
      <c r="N7" s="22"/>
      <c r="O7" s="22"/>
      <c r="P7" s="23" t="s">
        <v>68</v>
      </c>
    </row>
    <row r="8" spans="1:16" s="24" customFormat="1" ht="12.75">
      <c r="A8" s="174" t="s">
        <v>3</v>
      </c>
      <c r="B8" s="174" t="s">
        <v>69</v>
      </c>
      <c r="C8" s="174" t="s">
        <v>70</v>
      </c>
      <c r="D8" s="174" t="s">
        <v>71</v>
      </c>
      <c r="E8" s="177" t="s">
        <v>72</v>
      </c>
      <c r="F8" s="180" t="s">
        <v>73</v>
      </c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s="24" customFormat="1" ht="12.75">
      <c r="A9" s="175"/>
      <c r="B9" s="175"/>
      <c r="C9" s="175"/>
      <c r="D9" s="175"/>
      <c r="E9" s="178"/>
      <c r="F9" s="177" t="s">
        <v>74</v>
      </c>
      <c r="G9" s="183" t="s">
        <v>73</v>
      </c>
      <c r="H9" s="183"/>
      <c r="I9" s="183"/>
      <c r="J9" s="183"/>
      <c r="K9" s="183"/>
      <c r="L9" s="177" t="s">
        <v>75</v>
      </c>
      <c r="M9" s="185" t="s">
        <v>73</v>
      </c>
      <c r="N9" s="186"/>
      <c r="O9" s="186"/>
      <c r="P9" s="187"/>
    </row>
    <row r="10" spans="1:16" s="24" customFormat="1" ht="25.5" customHeight="1">
      <c r="A10" s="175"/>
      <c r="B10" s="175"/>
      <c r="C10" s="175"/>
      <c r="D10" s="175"/>
      <c r="E10" s="178"/>
      <c r="F10" s="178"/>
      <c r="G10" s="180" t="s">
        <v>76</v>
      </c>
      <c r="H10" s="182"/>
      <c r="I10" s="177" t="s">
        <v>77</v>
      </c>
      <c r="J10" s="177" t="s">
        <v>78</v>
      </c>
      <c r="K10" s="177" t="s">
        <v>79</v>
      </c>
      <c r="L10" s="178"/>
      <c r="M10" s="180" t="s">
        <v>80</v>
      </c>
      <c r="N10" s="25" t="s">
        <v>13</v>
      </c>
      <c r="O10" s="183" t="s">
        <v>81</v>
      </c>
      <c r="P10" s="183" t="s">
        <v>82</v>
      </c>
    </row>
    <row r="11" spans="1:16" s="24" customFormat="1" ht="84">
      <c r="A11" s="176"/>
      <c r="B11" s="176"/>
      <c r="C11" s="176"/>
      <c r="D11" s="176"/>
      <c r="E11" s="179"/>
      <c r="F11" s="179"/>
      <c r="G11" s="26" t="s">
        <v>83</v>
      </c>
      <c r="H11" s="26" t="s">
        <v>84</v>
      </c>
      <c r="I11" s="179"/>
      <c r="J11" s="179"/>
      <c r="K11" s="179"/>
      <c r="L11" s="179"/>
      <c r="M11" s="183"/>
      <c r="N11" s="27" t="s">
        <v>85</v>
      </c>
      <c r="O11" s="183"/>
      <c r="P11" s="183"/>
    </row>
    <row r="12" spans="1:16" s="24" customFormat="1" ht="6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</row>
    <row r="13" spans="1:16" s="24" customFormat="1" ht="14.25" customHeight="1">
      <c r="A13" s="29" t="s">
        <v>18</v>
      </c>
      <c r="B13" s="29" t="s">
        <v>86</v>
      </c>
      <c r="C13" s="30">
        <v>2010</v>
      </c>
      <c r="D13" s="31">
        <f>232938+125</f>
        <v>233063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s="24" customFormat="1" ht="13.5" customHeight="1">
      <c r="A14" s="29" t="s">
        <v>18</v>
      </c>
      <c r="B14" s="29" t="s">
        <v>86</v>
      </c>
      <c r="C14" s="30">
        <v>4010</v>
      </c>
      <c r="D14" s="30">
        <v>0</v>
      </c>
      <c r="E14" s="31">
        <v>2772</v>
      </c>
      <c r="F14" s="31">
        <f aca="true" t="shared" si="0" ref="F14:G16">E14</f>
        <v>2772</v>
      </c>
      <c r="G14" s="31">
        <f t="shared" si="0"/>
        <v>2772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s="24" customFormat="1" ht="12.75" customHeight="1">
      <c r="A15" s="29" t="s">
        <v>18</v>
      </c>
      <c r="B15" s="29" t="s">
        <v>86</v>
      </c>
      <c r="C15" s="30">
        <v>4110</v>
      </c>
      <c r="D15" s="30">
        <v>0</v>
      </c>
      <c r="E15" s="31">
        <v>422</v>
      </c>
      <c r="F15" s="31">
        <f t="shared" si="0"/>
        <v>422</v>
      </c>
      <c r="G15" s="31">
        <f t="shared" si="0"/>
        <v>422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</row>
    <row r="16" spans="1:16" s="24" customFormat="1" ht="14.25" customHeight="1">
      <c r="A16" s="29" t="s">
        <v>18</v>
      </c>
      <c r="B16" s="29" t="s">
        <v>86</v>
      </c>
      <c r="C16" s="30">
        <v>4120</v>
      </c>
      <c r="D16" s="30">
        <v>0</v>
      </c>
      <c r="E16" s="31">
        <v>68</v>
      </c>
      <c r="F16" s="31">
        <f t="shared" si="0"/>
        <v>68</v>
      </c>
      <c r="G16" s="31">
        <f t="shared" si="0"/>
        <v>68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24" customFormat="1" ht="14.25" customHeight="1">
      <c r="A17" s="29" t="s">
        <v>18</v>
      </c>
      <c r="B17" s="29" t="s">
        <v>86</v>
      </c>
      <c r="C17" s="30">
        <v>4210</v>
      </c>
      <c r="D17" s="30">
        <v>0</v>
      </c>
      <c r="E17" s="31">
        <v>300</v>
      </c>
      <c r="F17" s="31">
        <f>E17</f>
        <v>300</v>
      </c>
      <c r="G17" s="31">
        <v>0</v>
      </c>
      <c r="H17" s="31">
        <f>F17</f>
        <v>300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s="24" customFormat="1" ht="13.5" customHeight="1">
      <c r="A18" s="29" t="s">
        <v>18</v>
      </c>
      <c r="B18" s="29" t="s">
        <v>86</v>
      </c>
      <c r="C18" s="30">
        <v>4300</v>
      </c>
      <c r="D18" s="30">
        <v>0</v>
      </c>
      <c r="E18" s="31">
        <f>1000+3</f>
        <v>1003</v>
      </c>
      <c r="F18" s="31">
        <f>E18</f>
        <v>1003</v>
      </c>
      <c r="G18" s="31">
        <v>0</v>
      </c>
      <c r="H18" s="31">
        <f>F18</f>
        <v>1003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24" customFormat="1" ht="17.25" customHeight="1">
      <c r="A19" s="29" t="s">
        <v>18</v>
      </c>
      <c r="B19" s="29" t="s">
        <v>86</v>
      </c>
      <c r="C19" s="30">
        <v>4430</v>
      </c>
      <c r="D19" s="30">
        <v>0</v>
      </c>
      <c r="E19" s="31">
        <f>228376+122</f>
        <v>228498</v>
      </c>
      <c r="F19" s="31">
        <f>E19</f>
        <v>228498</v>
      </c>
      <c r="G19" s="31">
        <v>0</v>
      </c>
      <c r="H19" s="31">
        <f>F19</f>
        <v>228498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  <row r="20" spans="1:16" s="24" customFormat="1" ht="12.75">
      <c r="A20" s="32">
        <v>750</v>
      </c>
      <c r="B20" s="32">
        <v>75011</v>
      </c>
      <c r="C20" s="32">
        <v>2010</v>
      </c>
      <c r="D20" s="33">
        <v>123428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s="24" customFormat="1" ht="12.75">
      <c r="A21" s="32">
        <v>750</v>
      </c>
      <c r="B21" s="32">
        <v>75011</v>
      </c>
      <c r="C21" s="32">
        <v>4010</v>
      </c>
      <c r="D21" s="35">
        <v>0</v>
      </c>
      <c r="E21" s="35">
        <v>104919</v>
      </c>
      <c r="F21" s="35">
        <f>E21</f>
        <v>104919</v>
      </c>
      <c r="G21" s="35">
        <f>F21</f>
        <v>104919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4" customFormat="1" ht="12.75">
      <c r="A22" s="32">
        <v>750</v>
      </c>
      <c r="B22" s="32">
        <v>75011</v>
      </c>
      <c r="C22" s="32">
        <v>4110</v>
      </c>
      <c r="D22" s="35">
        <v>0</v>
      </c>
      <c r="E22" s="35">
        <v>15938</v>
      </c>
      <c r="F22" s="35">
        <f aca="true" t="shared" si="1" ref="F22:G66">E22</f>
        <v>15938</v>
      </c>
      <c r="G22" s="35">
        <f t="shared" si="1"/>
        <v>15938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4" customFormat="1" ht="12.75">
      <c r="A23" s="32">
        <v>750</v>
      </c>
      <c r="B23" s="32">
        <v>75011</v>
      </c>
      <c r="C23" s="32">
        <v>4120</v>
      </c>
      <c r="D23" s="35">
        <v>0</v>
      </c>
      <c r="E23" s="35">
        <v>2571</v>
      </c>
      <c r="F23" s="35">
        <f t="shared" si="1"/>
        <v>2571</v>
      </c>
      <c r="G23" s="35">
        <f t="shared" si="1"/>
        <v>2571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4" customFormat="1" ht="12.75">
      <c r="A24" s="32">
        <v>750</v>
      </c>
      <c r="B24" s="32">
        <v>75056</v>
      </c>
      <c r="C24" s="32">
        <v>2010</v>
      </c>
      <c r="D24" s="35">
        <f>30386+18823</f>
        <v>49209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4" customFormat="1" ht="12.75">
      <c r="A25" s="32">
        <v>750</v>
      </c>
      <c r="B25" s="32">
        <v>75056</v>
      </c>
      <c r="C25" s="32">
        <v>3020</v>
      </c>
      <c r="D25" s="35">
        <v>0</v>
      </c>
      <c r="E25" s="35">
        <v>18400</v>
      </c>
      <c r="F25" s="35">
        <f aca="true" t="shared" si="2" ref="F25:F31">E25</f>
        <v>18400</v>
      </c>
      <c r="G25" s="35">
        <v>0</v>
      </c>
      <c r="H25" s="35">
        <v>0</v>
      </c>
      <c r="I25" s="35">
        <v>0</v>
      </c>
      <c r="J25" s="35">
        <f>F25</f>
        <v>18400</v>
      </c>
      <c r="K25" s="35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4" customFormat="1" ht="12.75">
      <c r="A26" s="32">
        <v>750</v>
      </c>
      <c r="B26" s="32">
        <v>75056</v>
      </c>
      <c r="C26" s="32">
        <v>3040</v>
      </c>
      <c r="D26" s="35">
        <v>0</v>
      </c>
      <c r="E26" s="35">
        <v>12000</v>
      </c>
      <c r="F26" s="35">
        <f t="shared" si="2"/>
        <v>12000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4" customFormat="1" ht="12.75">
      <c r="A27" s="32">
        <v>750</v>
      </c>
      <c r="B27" s="32">
        <v>75056</v>
      </c>
      <c r="C27" s="32">
        <v>4110</v>
      </c>
      <c r="D27" s="35">
        <v>0</v>
      </c>
      <c r="E27" s="35">
        <f>3769+2431</f>
        <v>6200</v>
      </c>
      <c r="F27" s="35">
        <f t="shared" si="2"/>
        <v>6200</v>
      </c>
      <c r="G27" s="35">
        <f>F27</f>
        <v>6200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4" customFormat="1" ht="12.75">
      <c r="A28" s="32">
        <v>750</v>
      </c>
      <c r="B28" s="32">
        <v>75056</v>
      </c>
      <c r="C28" s="32">
        <v>4120</v>
      </c>
      <c r="D28" s="35">
        <v>0</v>
      </c>
      <c r="E28" s="35">
        <f>608+392</f>
        <v>1000</v>
      </c>
      <c r="F28" s="35">
        <f t="shared" si="2"/>
        <v>1000</v>
      </c>
      <c r="G28" s="35">
        <f>F28</f>
        <v>1000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4" customFormat="1" ht="12.75">
      <c r="A29" s="32">
        <v>750</v>
      </c>
      <c r="B29" s="32">
        <v>75056</v>
      </c>
      <c r="C29" s="32">
        <v>4170</v>
      </c>
      <c r="D29" s="35">
        <v>0</v>
      </c>
      <c r="E29" s="35">
        <f>6409+4000</f>
        <v>10409</v>
      </c>
      <c r="F29" s="35">
        <f t="shared" si="2"/>
        <v>10409</v>
      </c>
      <c r="G29" s="35">
        <f>F29</f>
        <v>10409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4" customFormat="1" ht="12.75">
      <c r="A30" s="32">
        <v>750</v>
      </c>
      <c r="B30" s="32">
        <v>75056</v>
      </c>
      <c r="C30" s="32">
        <v>4210</v>
      </c>
      <c r="D30" s="35">
        <v>0</v>
      </c>
      <c r="E30" s="35">
        <v>700</v>
      </c>
      <c r="F30" s="35">
        <f t="shared" si="2"/>
        <v>700</v>
      </c>
      <c r="G30" s="35">
        <v>0</v>
      </c>
      <c r="H30" s="35">
        <f>F30</f>
        <v>700</v>
      </c>
      <c r="I30" s="35">
        <v>0</v>
      </c>
      <c r="J30" s="35">
        <v>0</v>
      </c>
      <c r="K30" s="35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4" customFormat="1" ht="12.75">
      <c r="A31" s="32">
        <v>750</v>
      </c>
      <c r="B31" s="32">
        <v>75056</v>
      </c>
      <c r="C31" s="32">
        <v>4410</v>
      </c>
      <c r="D31" s="35">
        <v>0</v>
      </c>
      <c r="E31" s="35">
        <v>500</v>
      </c>
      <c r="F31" s="35">
        <f t="shared" si="2"/>
        <v>500</v>
      </c>
      <c r="G31" s="35">
        <v>0</v>
      </c>
      <c r="H31" s="35">
        <f>F31</f>
        <v>500</v>
      </c>
      <c r="I31" s="35">
        <v>0</v>
      </c>
      <c r="J31" s="35">
        <v>0</v>
      </c>
      <c r="K31" s="35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4" customFormat="1" ht="12.75">
      <c r="A32" s="32">
        <v>751</v>
      </c>
      <c r="B32" s="32">
        <v>75101</v>
      </c>
      <c r="C32" s="32">
        <v>2010</v>
      </c>
      <c r="D32" s="35">
        <f>3755-2</f>
        <v>3753</v>
      </c>
      <c r="E32" s="35">
        <v>0</v>
      </c>
      <c r="F32" s="35">
        <f t="shared" si="1"/>
        <v>0</v>
      </c>
      <c r="G32" s="35">
        <f t="shared" si="1"/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4" customFormat="1" ht="12.75">
      <c r="A33" s="32">
        <v>751</v>
      </c>
      <c r="B33" s="32">
        <v>75101</v>
      </c>
      <c r="C33" s="32">
        <v>4010</v>
      </c>
      <c r="D33" s="35">
        <v>0</v>
      </c>
      <c r="E33" s="35">
        <v>3191</v>
      </c>
      <c r="F33" s="35">
        <f t="shared" si="1"/>
        <v>3191</v>
      </c>
      <c r="G33" s="35">
        <f t="shared" si="1"/>
        <v>3191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4" customFormat="1" ht="12.75">
      <c r="A34" s="32">
        <v>751</v>
      </c>
      <c r="B34" s="32">
        <v>75101</v>
      </c>
      <c r="C34" s="32">
        <v>4110</v>
      </c>
      <c r="D34" s="35">
        <v>0</v>
      </c>
      <c r="E34" s="35">
        <f>485-1</f>
        <v>484</v>
      </c>
      <c r="F34" s="35">
        <f t="shared" si="1"/>
        <v>484</v>
      </c>
      <c r="G34" s="35">
        <f t="shared" si="1"/>
        <v>484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4" customFormat="1" ht="12.75">
      <c r="A35" s="32">
        <v>751</v>
      </c>
      <c r="B35" s="32">
        <v>75101</v>
      </c>
      <c r="C35" s="32">
        <v>4120</v>
      </c>
      <c r="D35" s="35">
        <v>0</v>
      </c>
      <c r="E35" s="35">
        <f>79-1</f>
        <v>78</v>
      </c>
      <c r="F35" s="35">
        <f t="shared" si="1"/>
        <v>78</v>
      </c>
      <c r="G35" s="35">
        <f t="shared" si="1"/>
        <v>78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4" customFormat="1" ht="12.75">
      <c r="A36" s="32">
        <v>751</v>
      </c>
      <c r="B36" s="32">
        <v>75108</v>
      </c>
      <c r="C36" s="32">
        <v>2010</v>
      </c>
      <c r="D36" s="35">
        <f>21085+24380</f>
        <v>45465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s="24" customFormat="1" ht="12.75">
      <c r="A37" s="32">
        <v>751</v>
      </c>
      <c r="B37" s="32">
        <v>75108</v>
      </c>
      <c r="C37" s="32">
        <v>3030</v>
      </c>
      <c r="D37" s="35">
        <v>0</v>
      </c>
      <c r="E37" s="35">
        <v>24380</v>
      </c>
      <c r="F37" s="35">
        <v>24380</v>
      </c>
      <c r="G37" s="35">
        <v>0</v>
      </c>
      <c r="H37" s="35">
        <v>0</v>
      </c>
      <c r="I37" s="35">
        <v>0</v>
      </c>
      <c r="J37" s="35">
        <v>24380</v>
      </c>
      <c r="K37" s="35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s="24" customFormat="1" ht="12.75">
      <c r="A38" s="32">
        <v>751</v>
      </c>
      <c r="B38" s="32">
        <v>75108</v>
      </c>
      <c r="C38" s="32">
        <v>4110</v>
      </c>
      <c r="D38" s="35">
        <v>0</v>
      </c>
      <c r="E38" s="35">
        <f>875+66</f>
        <v>941</v>
      </c>
      <c r="F38" s="35">
        <f aca="true" t="shared" si="3" ref="F38:G40">E38</f>
        <v>941</v>
      </c>
      <c r="G38" s="35">
        <f t="shared" si="3"/>
        <v>941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s="24" customFormat="1" ht="12.75">
      <c r="A39" s="32">
        <v>751</v>
      </c>
      <c r="B39" s="32">
        <v>75108</v>
      </c>
      <c r="C39" s="32">
        <v>4120</v>
      </c>
      <c r="D39" s="35">
        <v>0</v>
      </c>
      <c r="E39" s="35">
        <v>141</v>
      </c>
      <c r="F39" s="35">
        <f t="shared" si="3"/>
        <v>141</v>
      </c>
      <c r="G39" s="35">
        <f t="shared" si="3"/>
        <v>141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4" customFormat="1" ht="12.75">
      <c r="A40" s="32">
        <v>751</v>
      </c>
      <c r="B40" s="32">
        <v>75108</v>
      </c>
      <c r="C40" s="32">
        <v>4170</v>
      </c>
      <c r="D40" s="35">
        <v>0</v>
      </c>
      <c r="E40" s="35">
        <f>10000-66</f>
        <v>9934</v>
      </c>
      <c r="F40" s="35">
        <f t="shared" si="3"/>
        <v>9934</v>
      </c>
      <c r="G40" s="35">
        <f t="shared" si="3"/>
        <v>9934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4" customFormat="1" ht="12.75">
      <c r="A41" s="32">
        <v>751</v>
      </c>
      <c r="B41" s="32">
        <v>75108</v>
      </c>
      <c r="C41" s="32">
        <v>4210</v>
      </c>
      <c r="D41" s="35">
        <v>0</v>
      </c>
      <c r="E41" s="35">
        <f>7969+1500</f>
        <v>9469</v>
      </c>
      <c r="F41" s="35">
        <f>E41</f>
        <v>9469</v>
      </c>
      <c r="G41" s="35">
        <v>0</v>
      </c>
      <c r="H41" s="35">
        <f>F41</f>
        <v>9469</v>
      </c>
      <c r="I41" s="35">
        <v>0</v>
      </c>
      <c r="J41" s="35">
        <v>0</v>
      </c>
      <c r="K41" s="35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4" customFormat="1" ht="12.75">
      <c r="A42" s="32">
        <v>751</v>
      </c>
      <c r="B42" s="32">
        <v>75108</v>
      </c>
      <c r="C42" s="32">
        <v>4300</v>
      </c>
      <c r="D42" s="35">
        <v>0</v>
      </c>
      <c r="E42" s="35">
        <f>1600-1300</f>
        <v>300</v>
      </c>
      <c r="F42" s="35">
        <f>E42</f>
        <v>300</v>
      </c>
      <c r="G42" s="35">
        <v>0</v>
      </c>
      <c r="H42" s="35">
        <f>F42</f>
        <v>300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4" customFormat="1" ht="12.75">
      <c r="A43" s="32">
        <v>751</v>
      </c>
      <c r="B43" s="32">
        <v>75108</v>
      </c>
      <c r="C43" s="32">
        <v>4410</v>
      </c>
      <c r="D43" s="35">
        <v>0</v>
      </c>
      <c r="E43" s="35">
        <f>500-200</f>
        <v>300</v>
      </c>
      <c r="F43" s="35">
        <f>E43</f>
        <v>300</v>
      </c>
      <c r="G43" s="35">
        <v>0</v>
      </c>
      <c r="H43" s="35">
        <f>F43</f>
        <v>300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4" customFormat="1" ht="12.75">
      <c r="A44" s="32">
        <v>852</v>
      </c>
      <c r="B44" s="32">
        <v>85212</v>
      </c>
      <c r="C44" s="32">
        <v>2010</v>
      </c>
      <c r="D44" s="35">
        <v>7459336</v>
      </c>
      <c r="E44" s="35">
        <v>0</v>
      </c>
      <c r="F44" s="35">
        <f t="shared" si="1"/>
        <v>0</v>
      </c>
      <c r="G44" s="35">
        <f t="shared" si="1"/>
        <v>0</v>
      </c>
      <c r="H44" s="35">
        <v>0</v>
      </c>
      <c r="I44" s="35">
        <v>0</v>
      </c>
      <c r="J44" s="35">
        <v>0</v>
      </c>
      <c r="K44" s="35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4" customFormat="1" ht="12.75">
      <c r="A45" s="32">
        <v>852</v>
      </c>
      <c r="B45" s="32">
        <v>85212</v>
      </c>
      <c r="C45" s="32">
        <v>3110</v>
      </c>
      <c r="D45" s="35">
        <v>0</v>
      </c>
      <c r="E45" s="35">
        <f>7186338-11000-15000</f>
        <v>7160338</v>
      </c>
      <c r="F45" s="35">
        <f t="shared" si="1"/>
        <v>7160338</v>
      </c>
      <c r="G45" s="35">
        <v>0</v>
      </c>
      <c r="H45" s="35">
        <v>0</v>
      </c>
      <c r="I45" s="35">
        <v>0</v>
      </c>
      <c r="J45" s="35">
        <f>F45</f>
        <v>7160338</v>
      </c>
      <c r="K45" s="35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4" customFormat="1" ht="12.75">
      <c r="A46" s="32">
        <v>852</v>
      </c>
      <c r="B46" s="32">
        <v>85212</v>
      </c>
      <c r="C46" s="32">
        <v>4010</v>
      </c>
      <c r="D46" s="35">
        <v>0</v>
      </c>
      <c r="E46" s="35">
        <v>131260</v>
      </c>
      <c r="F46" s="35">
        <f t="shared" si="1"/>
        <v>131260</v>
      </c>
      <c r="G46" s="35">
        <f t="shared" si="1"/>
        <v>131260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4" customFormat="1" ht="12.75">
      <c r="A47" s="32">
        <v>852</v>
      </c>
      <c r="B47" s="32">
        <v>85212</v>
      </c>
      <c r="C47" s="32">
        <v>4040</v>
      </c>
      <c r="D47" s="35">
        <v>0</v>
      </c>
      <c r="E47" s="35">
        <v>10685</v>
      </c>
      <c r="F47" s="35">
        <f t="shared" si="1"/>
        <v>10685</v>
      </c>
      <c r="G47" s="35">
        <f t="shared" si="1"/>
        <v>10685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4" customFormat="1" ht="12.75">
      <c r="A48" s="32">
        <v>852</v>
      </c>
      <c r="B48" s="32">
        <v>85212</v>
      </c>
      <c r="C48" s="32">
        <v>4110</v>
      </c>
      <c r="D48" s="35">
        <v>0</v>
      </c>
      <c r="E48" s="35">
        <f>78065+11000+15000</f>
        <v>104065</v>
      </c>
      <c r="F48" s="35">
        <f t="shared" si="1"/>
        <v>104065</v>
      </c>
      <c r="G48" s="35">
        <f t="shared" si="1"/>
        <v>104065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4" customFormat="1" ht="12.75">
      <c r="A49" s="32">
        <v>852</v>
      </c>
      <c r="B49" s="32">
        <v>85212</v>
      </c>
      <c r="C49" s="32">
        <v>4120</v>
      </c>
      <c r="D49" s="35">
        <v>0</v>
      </c>
      <c r="E49" s="35">
        <v>3478</v>
      </c>
      <c r="F49" s="35">
        <f t="shared" si="1"/>
        <v>3478</v>
      </c>
      <c r="G49" s="35">
        <f t="shared" si="1"/>
        <v>3478</v>
      </c>
      <c r="H49" s="35">
        <v>0</v>
      </c>
      <c r="I49" s="35">
        <v>0</v>
      </c>
      <c r="J49" s="35">
        <v>0</v>
      </c>
      <c r="K49" s="35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4" customFormat="1" ht="12.75">
      <c r="A50" s="32">
        <v>852</v>
      </c>
      <c r="B50" s="32">
        <v>85212</v>
      </c>
      <c r="C50" s="32">
        <v>4170</v>
      </c>
      <c r="D50" s="35">
        <v>0</v>
      </c>
      <c r="E50" s="35">
        <v>2760</v>
      </c>
      <c r="F50" s="35">
        <f t="shared" si="1"/>
        <v>2760</v>
      </c>
      <c r="G50" s="35">
        <f t="shared" si="1"/>
        <v>2760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4" customFormat="1" ht="12.75">
      <c r="A51" s="32">
        <v>852</v>
      </c>
      <c r="B51" s="32">
        <v>85212</v>
      </c>
      <c r="C51" s="32">
        <v>4210</v>
      </c>
      <c r="D51" s="35">
        <v>0</v>
      </c>
      <c r="E51" s="35">
        <f>12000-300-1200-2100</f>
        <v>8400</v>
      </c>
      <c r="F51" s="35">
        <f t="shared" si="1"/>
        <v>8400</v>
      </c>
      <c r="G51" s="35">
        <v>0</v>
      </c>
      <c r="H51" s="35">
        <f aca="true" t="shared" si="4" ref="H51:H56">F51</f>
        <v>8400</v>
      </c>
      <c r="I51" s="35">
        <v>0</v>
      </c>
      <c r="J51" s="35">
        <v>0</v>
      </c>
      <c r="K51" s="35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4" customFormat="1" ht="12.75">
      <c r="A52" s="32">
        <v>852</v>
      </c>
      <c r="B52" s="32">
        <v>85212</v>
      </c>
      <c r="C52" s="32">
        <v>4300</v>
      </c>
      <c r="D52" s="35">
        <v>0</v>
      </c>
      <c r="E52" s="35">
        <v>25000</v>
      </c>
      <c r="F52" s="35">
        <f t="shared" si="1"/>
        <v>25000</v>
      </c>
      <c r="G52" s="35">
        <v>0</v>
      </c>
      <c r="H52" s="35">
        <f t="shared" si="4"/>
        <v>25000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4" customFormat="1" ht="12.75">
      <c r="A53" s="32">
        <v>852</v>
      </c>
      <c r="B53" s="32">
        <v>85212</v>
      </c>
      <c r="C53" s="32">
        <v>4370</v>
      </c>
      <c r="D53" s="35">
        <v>0</v>
      </c>
      <c r="E53" s="35">
        <v>3683</v>
      </c>
      <c r="F53" s="35">
        <f t="shared" si="1"/>
        <v>3683</v>
      </c>
      <c r="G53" s="35">
        <v>0</v>
      </c>
      <c r="H53" s="35">
        <f t="shared" si="4"/>
        <v>3683</v>
      </c>
      <c r="I53" s="35">
        <v>0</v>
      </c>
      <c r="J53" s="35">
        <v>0</v>
      </c>
      <c r="K53" s="35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4" customFormat="1" ht="12.75">
      <c r="A54" s="32">
        <v>852</v>
      </c>
      <c r="B54" s="32">
        <v>85212</v>
      </c>
      <c r="C54" s="32">
        <v>4440</v>
      </c>
      <c r="D54" s="35">
        <v>0</v>
      </c>
      <c r="E54" s="35">
        <v>4400</v>
      </c>
      <c r="F54" s="35">
        <f t="shared" si="1"/>
        <v>4400</v>
      </c>
      <c r="G54" s="35">
        <v>0</v>
      </c>
      <c r="H54" s="35">
        <f t="shared" si="4"/>
        <v>4400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4" customFormat="1" ht="12.75">
      <c r="A55" s="32">
        <v>852</v>
      </c>
      <c r="B55" s="32">
        <v>85212</v>
      </c>
      <c r="C55" s="32">
        <v>4610</v>
      </c>
      <c r="D55" s="35">
        <v>0</v>
      </c>
      <c r="E55" s="35">
        <f>167+300+1200+1500</f>
        <v>3167</v>
      </c>
      <c r="F55" s="35">
        <f t="shared" si="1"/>
        <v>3167</v>
      </c>
      <c r="G55" s="35">
        <v>0</v>
      </c>
      <c r="H55" s="35">
        <f t="shared" si="4"/>
        <v>3167</v>
      </c>
      <c r="I55" s="35">
        <v>0</v>
      </c>
      <c r="J55" s="35">
        <v>0</v>
      </c>
      <c r="K55" s="35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4" customFormat="1" ht="12.75">
      <c r="A56" s="32">
        <v>852</v>
      </c>
      <c r="B56" s="32">
        <v>85212</v>
      </c>
      <c r="C56" s="32">
        <v>4700</v>
      </c>
      <c r="D56" s="35">
        <v>0</v>
      </c>
      <c r="E56" s="35">
        <f>1500+600</f>
        <v>2100</v>
      </c>
      <c r="F56" s="35">
        <f t="shared" si="1"/>
        <v>2100</v>
      </c>
      <c r="G56" s="35">
        <v>0</v>
      </c>
      <c r="H56" s="35">
        <f t="shared" si="4"/>
        <v>2100</v>
      </c>
      <c r="I56" s="35">
        <v>0</v>
      </c>
      <c r="J56" s="35">
        <v>0</v>
      </c>
      <c r="K56" s="35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4" customFormat="1" ht="12.75">
      <c r="A57" s="32">
        <v>852</v>
      </c>
      <c r="B57" s="32">
        <v>85213</v>
      </c>
      <c r="C57" s="32">
        <v>2010</v>
      </c>
      <c r="D57" s="35">
        <f>12299+5456</f>
        <v>17755</v>
      </c>
      <c r="E57" s="35">
        <v>0</v>
      </c>
      <c r="F57" s="35">
        <f t="shared" si="1"/>
        <v>0</v>
      </c>
      <c r="G57" s="35">
        <f t="shared" si="1"/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4" customFormat="1" ht="12.75">
      <c r="A58" s="32">
        <v>852</v>
      </c>
      <c r="B58" s="32">
        <v>85213</v>
      </c>
      <c r="C58" s="32">
        <v>4130</v>
      </c>
      <c r="D58" s="35">
        <v>0</v>
      </c>
      <c r="E58" s="35">
        <f>12299+5456</f>
        <v>17755</v>
      </c>
      <c r="F58" s="35">
        <f t="shared" si="1"/>
        <v>17755</v>
      </c>
      <c r="G58" s="35">
        <f t="shared" si="1"/>
        <v>17755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4" customFormat="1" ht="12.75">
      <c r="A59" s="32">
        <v>852</v>
      </c>
      <c r="B59" s="32">
        <v>85228</v>
      </c>
      <c r="C59" s="32">
        <v>2010</v>
      </c>
      <c r="D59" s="35">
        <v>39600</v>
      </c>
      <c r="E59" s="35">
        <v>0</v>
      </c>
      <c r="F59" s="35">
        <f t="shared" si="1"/>
        <v>0</v>
      </c>
      <c r="G59" s="35">
        <f t="shared" si="1"/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4" customFormat="1" ht="12.75">
      <c r="A60" s="32">
        <v>852</v>
      </c>
      <c r="B60" s="32">
        <v>85228</v>
      </c>
      <c r="C60" s="32">
        <v>3020</v>
      </c>
      <c r="D60" s="35">
        <v>0</v>
      </c>
      <c r="E60" s="35">
        <v>130</v>
      </c>
      <c r="F60" s="35">
        <f t="shared" si="1"/>
        <v>130</v>
      </c>
      <c r="G60" s="35">
        <v>0</v>
      </c>
      <c r="H60" s="35">
        <v>0</v>
      </c>
      <c r="I60" s="35">
        <v>0</v>
      </c>
      <c r="J60" s="35">
        <f>F60</f>
        <v>130</v>
      </c>
      <c r="K60" s="35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4" customFormat="1" ht="12.75">
      <c r="A61" s="32">
        <v>852</v>
      </c>
      <c r="B61" s="32">
        <v>85228</v>
      </c>
      <c r="C61" s="32">
        <v>4010</v>
      </c>
      <c r="D61" s="35">
        <v>0</v>
      </c>
      <c r="E61" s="35">
        <v>18720</v>
      </c>
      <c r="F61" s="35">
        <f t="shared" si="1"/>
        <v>18720</v>
      </c>
      <c r="G61" s="35">
        <f t="shared" si="1"/>
        <v>18720</v>
      </c>
      <c r="H61" s="35">
        <v>0</v>
      </c>
      <c r="I61" s="35">
        <v>0</v>
      </c>
      <c r="J61" s="35">
        <v>0</v>
      </c>
      <c r="K61" s="35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4" customFormat="1" ht="12.75">
      <c r="A62" s="32">
        <v>852</v>
      </c>
      <c r="B62" s="32">
        <v>85228</v>
      </c>
      <c r="C62" s="32">
        <v>4040</v>
      </c>
      <c r="D62" s="35">
        <v>0</v>
      </c>
      <c r="E62" s="35">
        <v>2041</v>
      </c>
      <c r="F62" s="35">
        <f t="shared" si="1"/>
        <v>2041</v>
      </c>
      <c r="G62" s="35">
        <f t="shared" si="1"/>
        <v>2041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4" customFormat="1" ht="12.75">
      <c r="A63" s="32">
        <v>852</v>
      </c>
      <c r="B63" s="32">
        <v>85228</v>
      </c>
      <c r="C63" s="32">
        <v>4110</v>
      </c>
      <c r="D63" s="35">
        <v>0</v>
      </c>
      <c r="E63" s="35">
        <v>3266</v>
      </c>
      <c r="F63" s="35">
        <f t="shared" si="1"/>
        <v>3266</v>
      </c>
      <c r="G63" s="35">
        <f t="shared" si="1"/>
        <v>3266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4" customFormat="1" ht="12.75">
      <c r="A64" s="32">
        <v>852</v>
      </c>
      <c r="B64" s="32">
        <v>85228</v>
      </c>
      <c r="C64" s="32">
        <v>4120</v>
      </c>
      <c r="D64" s="35">
        <v>0</v>
      </c>
      <c r="E64" s="35">
        <v>509</v>
      </c>
      <c r="F64" s="35">
        <f t="shared" si="1"/>
        <v>509</v>
      </c>
      <c r="G64" s="35">
        <f t="shared" si="1"/>
        <v>509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4" customFormat="1" ht="12.75">
      <c r="A65" s="32">
        <v>852</v>
      </c>
      <c r="B65" s="32">
        <v>85228</v>
      </c>
      <c r="C65" s="32">
        <v>4300</v>
      </c>
      <c r="D65" s="35">
        <v>0</v>
      </c>
      <c r="E65" s="35">
        <v>13834</v>
      </c>
      <c r="F65" s="35">
        <f t="shared" si="1"/>
        <v>13834</v>
      </c>
      <c r="G65" s="35">
        <v>0</v>
      </c>
      <c r="H65" s="35">
        <f>F65</f>
        <v>13834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4" customFormat="1" ht="12.75">
      <c r="A66" s="32">
        <v>852</v>
      </c>
      <c r="B66" s="32">
        <v>85228</v>
      </c>
      <c r="C66" s="32">
        <v>4440</v>
      </c>
      <c r="D66" s="35">
        <v>0</v>
      </c>
      <c r="E66" s="35">
        <v>1100</v>
      </c>
      <c r="F66" s="35">
        <f t="shared" si="1"/>
        <v>1100</v>
      </c>
      <c r="G66" s="35">
        <v>0</v>
      </c>
      <c r="H66" s="35">
        <f>F66</f>
        <v>1100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14.25">
      <c r="A67" s="184" t="s">
        <v>63</v>
      </c>
      <c r="B67" s="184"/>
      <c r="C67" s="184"/>
      <c r="D67" s="37">
        <f>SUM(D13:D66)</f>
        <v>7971609</v>
      </c>
      <c r="E67" s="37">
        <f aca="true" t="shared" si="5" ref="E67:P67">SUM(E13:E66)</f>
        <v>7971609</v>
      </c>
      <c r="F67" s="37">
        <f t="shared" si="5"/>
        <v>7971609</v>
      </c>
      <c r="G67" s="37">
        <f t="shared" si="5"/>
        <v>453607</v>
      </c>
      <c r="H67" s="37">
        <f t="shared" si="5"/>
        <v>302754</v>
      </c>
      <c r="I67" s="37">
        <f t="shared" si="5"/>
        <v>0</v>
      </c>
      <c r="J67" s="37">
        <f t="shared" si="5"/>
        <v>7203248</v>
      </c>
      <c r="K67" s="37">
        <f t="shared" si="5"/>
        <v>0</v>
      </c>
      <c r="L67" s="37">
        <f t="shared" si="5"/>
        <v>0</v>
      </c>
      <c r="M67" s="37">
        <f t="shared" si="5"/>
        <v>0</v>
      </c>
      <c r="N67" s="37">
        <f t="shared" si="5"/>
        <v>0</v>
      </c>
      <c r="O67" s="37">
        <f t="shared" si="5"/>
        <v>0</v>
      </c>
      <c r="P67" s="37">
        <f t="shared" si="5"/>
        <v>0</v>
      </c>
    </row>
    <row r="69" spans="6:7" ht="14.25">
      <c r="F69" s="13"/>
      <c r="G69" s="13"/>
    </row>
    <row r="70" spans="4:7" ht="14.25">
      <c r="D70" s="13"/>
      <c r="E70" s="13"/>
      <c r="F70" s="13"/>
      <c r="G70" s="13"/>
    </row>
  </sheetData>
  <sheetProtection/>
  <mergeCells count="20">
    <mergeCell ref="A67:C67"/>
    <mergeCell ref="L9:L11"/>
    <mergeCell ref="M9:P9"/>
    <mergeCell ref="G10:H10"/>
    <mergeCell ref="I10:I11"/>
    <mergeCell ref="J10:J11"/>
    <mergeCell ref="K10:K11"/>
    <mergeCell ref="M10:M11"/>
    <mergeCell ref="O10:O11"/>
    <mergeCell ref="P10:P11"/>
    <mergeCell ref="L1:P3"/>
    <mergeCell ref="A5:P5"/>
    <mergeCell ref="A8:A11"/>
    <mergeCell ref="B8:B11"/>
    <mergeCell ref="C8:C11"/>
    <mergeCell ref="D8:D11"/>
    <mergeCell ref="E8:E11"/>
    <mergeCell ref="F8:P8"/>
    <mergeCell ref="F9:F11"/>
    <mergeCell ref="G9:K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2011-10-27T13:08:07Z</cp:lastPrinted>
  <dcterms:created xsi:type="dcterms:W3CDTF">2006-09-22T13:37:51Z</dcterms:created>
  <dcterms:modified xsi:type="dcterms:W3CDTF">2011-10-27T13:10:23Z</dcterms:modified>
  <cp:category/>
  <cp:version/>
  <cp:contentType/>
  <cp:contentStatus/>
</cp:coreProperties>
</file>