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360" tabRatio="703" activeTab="7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  <sheet name="10" sheetId="8" r:id="rId8"/>
  </sheets>
  <definedNames>
    <definedName name="_xlnm.Print_Titles" localSheetId="0">'3'!$12:$12</definedName>
    <definedName name="_xlnm.Print_Titles" localSheetId="1">'4'!$13:$13</definedName>
    <definedName name="_xlnm.Print_Titles" localSheetId="2">'5'!$11:$11</definedName>
    <definedName name="_xlnm.Print_Titles" localSheetId="5">'8'!$9:$9</definedName>
  </definedNames>
  <calcPr fullCalcOnLoad="1"/>
</workbook>
</file>

<file path=xl/sharedStrings.xml><?xml version="1.0" encoding="utf-8"?>
<sst xmlns="http://schemas.openxmlformats.org/spreadsheetml/2006/main" count="536" uniqueCount="232">
  <si>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</si>
  <si>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</si>
  <si>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</si>
  <si>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</si>
  <si>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</si>
  <si>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</si>
  <si>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</si>
  <si>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</si>
  <si>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</si>
  <si>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>Wydatki bieżące</t>
  </si>
  <si>
    <t>Wydatki majątkowe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</si>
  <si>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</si>
  <si>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</si>
  <si>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</si>
  <si>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</si>
  <si>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</si>
  <si>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</si>
  <si>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</si>
  <si>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</si>
  <si>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</si>
  <si>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</si>
  <si>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</si>
  <si>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</si>
  <si>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</si>
  <si>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</si>
  <si>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</si>
  <si>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</si>
  <si>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</si>
  <si>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</si>
  <si>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</si>
  <si>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</si>
  <si>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</si>
  <si>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</si>
  <si>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</si>
  <si>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</si>
  <si>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</si>
  <si>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poniesione do 31.12.2007 r.</t>
  </si>
  <si>
    <t>rok budżetowy 2008 (8+9+10+11)</t>
  </si>
  <si>
    <t>2010 r.</t>
  </si>
  <si>
    <t>wydatki do poniesienia po 2010 roku</t>
  </si>
  <si>
    <t>rok budżetowy 2008 (7+8+9+10)</t>
  </si>
  <si>
    <t>Dochody i wydatki związane z realizacją zadań z zakresu administracji rządowej i innych zadań zleconych odrębnymi ustawami w 2008 r.</t>
  </si>
  <si>
    <t>Plan przychodów i wydatków Gminnego Funduszu</t>
  </si>
  <si>
    <t>Ochrony Środowiska i Gospodarki Wodnej</t>
  </si>
  <si>
    <t>Wyszczególnienie</t>
  </si>
  <si>
    <t>I.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</si>
  <si>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</si>
  <si>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</si>
  <si>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</si>
  <si>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</si>
  <si>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</si>
  <si>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</si>
  <si>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</si>
  <si>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Plan na 2008 r.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</si>
  <si>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</si>
  <si>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</si>
  <si>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</si>
  <si>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</si>
  <si>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</si>
  <si>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</si>
  <si>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II. Dochody i wydatki związane z realizacją zadań przejętych przez Gminę do realizacji w drodze umowy lub porozumienia</t>
  </si>
  <si>
    <t>III. Dochody i wydatki związane z pomocą rzeczową lub finansową realizowaną na podstawie porozumień między j.s.t.</t>
  </si>
  <si>
    <t xml:space="preserve"> oraz dochodów i wydatków dochodów własnych na 2008 r.</t>
  </si>
  <si>
    <t>Przychody*</t>
  </si>
  <si>
    <t>ogółem</t>
  </si>
  <si>
    <t>w tym: dotacja
z budżetu</t>
  </si>
  <si>
    <t>w tym: wpłata do budżetu</t>
  </si>
  <si>
    <t>Zakłady budżetowe</t>
  </si>
  <si>
    <t>Gospodarstwa pomocnicze</t>
  </si>
  <si>
    <t>Rachunki dochodów własnych</t>
  </si>
  <si>
    <t>Nazwa jednostki
 otrzymującej dotację</t>
  </si>
  <si>
    <t>Zakres</t>
  </si>
  <si>
    <t>Ogółem kwota dotacji</t>
  </si>
  <si>
    <t>Kwota dotacji</t>
  </si>
  <si>
    <t>5.</t>
  </si>
  <si>
    <t>6.</t>
  </si>
  <si>
    <t>7.</t>
  </si>
  <si>
    <t>8.</t>
  </si>
  <si>
    <t>9.</t>
  </si>
  <si>
    <t>10.</t>
  </si>
  <si>
    <t>Jednostka otrzymująca dotację</t>
  </si>
  <si>
    <t>010</t>
  </si>
  <si>
    <t>01010</t>
  </si>
  <si>
    <t>600</t>
  </si>
  <si>
    <t>01095</t>
  </si>
  <si>
    <t>60013</t>
  </si>
  <si>
    <t>900</t>
  </si>
  <si>
    <t>Budowa wodociągu w Krzyżanowicach Średnich 2007-2009</t>
  </si>
  <si>
    <t>A. 0    
B. 0
C. 0
D. 0</t>
  </si>
  <si>
    <t>Urząd Miejski w Pińczowie</t>
  </si>
  <si>
    <t>Budowa wodociągu w Krzyżanowicach Dolnych 2007-2008</t>
  </si>
  <si>
    <t>Budowa wodociągu Mysiak 2007-2009</t>
  </si>
  <si>
    <t>Wodociąg Borków 2007-2008</t>
  </si>
  <si>
    <t>Budowa wodociągu Gacki wieś 2007-2009</t>
  </si>
  <si>
    <t>Budowa wodociągu w miejscowości Bugaj 2007-2009</t>
  </si>
  <si>
    <t>Budowa wodociągu w miejscowości Mozgawa 2007-2009</t>
  </si>
  <si>
    <t>Ekorozwój Ponidzia - aktywizacja gospodarcza Gminy Pińczów poprzez budowę kanalizacji sanitarnej i sieci wodociągowej północnej części Gminy Pińczów - etap II 2007-2010</t>
  </si>
  <si>
    <t>Budowa wodociągu w miejscowości Kowala 2007-2009</t>
  </si>
  <si>
    <t>Razem dział 010</t>
  </si>
  <si>
    <t>X</t>
  </si>
  <si>
    <t>Partycypacja w kosztach przebudowy ulicy Bat. Chłopskich w Pińczowie 2006-2009</t>
  </si>
  <si>
    <t>Rozbudowa drogi wojewódzkiej Nr 766 relacji Morawica-Węchadłów na odcinku Brzeście - ulica Batalionów Chłopskich w miejscowości Pińczów" 2007-2009</t>
  </si>
  <si>
    <t>Ewidencja dróg gminnych 2006-2008</t>
  </si>
  <si>
    <t>Budowa ulicy Przemysłowej - projekt i wykonastwo 2006-2009</t>
  </si>
  <si>
    <t>Budowa ulicy (łącznika) od ul. Wiosennej do ul. Reduty Mławskiej w Pińczowie 2008-2009</t>
  </si>
  <si>
    <t>Przebudowa drogi wraz z budową chodnika i parkingu na osiedlu Gacki 2007-2008</t>
  </si>
  <si>
    <t>Budowa ulicy Łąkowej (dokończenie) 2007-2008</t>
  </si>
  <si>
    <t>Razem dział 600</t>
  </si>
  <si>
    <t>Mieszkania socjalne 2007-2008</t>
  </si>
  <si>
    <t>Zmiana sposobu użytkowania budynku po byłej siedzibie Ośrodka Weterynarii w Leszczach na odrębne lokale socjalne 2007-2008</t>
  </si>
  <si>
    <t>Razem dział 700</t>
  </si>
  <si>
    <t>Wymiana stropów i pokrycia dachowego Szkoły Podstawowej Nr 1 w Pińczowie 2007-2008</t>
  </si>
  <si>
    <t>Razem dział 801</t>
  </si>
  <si>
    <t>Budowa oświetlenia drogowego przy drodze powiatowej Pińczów-Skowronno Dolne 2007-2008</t>
  </si>
  <si>
    <t>Razem dział 900</t>
  </si>
  <si>
    <t>Rezem dział 926</t>
  </si>
  <si>
    <t>Przebudowa chodnika na ulicy Pałęki</t>
  </si>
  <si>
    <t>Przebudowa drogi Pasturka Krzywda</t>
  </si>
  <si>
    <t>Przebudowa drogi Byczów – Aleksandrów</t>
  </si>
  <si>
    <t>Przebudowa drogi Bogucice – Skałki</t>
  </si>
  <si>
    <t>Projekt przebudowy drogi w Skrzypiowie (dz.77)</t>
  </si>
  <si>
    <t>Przebudowa drogi w Kozubowie</t>
  </si>
  <si>
    <t>Dokumentacja projektowa adaptacji pomieszczeń Przedszkola nr 3 w Pińczowie pod potrzeby Ośrodka Zdrowia</t>
  </si>
  <si>
    <t>Przebudowa oświetlenia na Placu Konstytucji 3 Maja</t>
  </si>
  <si>
    <t>Budowa oświetlenia na ulicy dojazdowej przy ul. Przemysłowej w Pińczowie</t>
  </si>
  <si>
    <t>Opracowanie programu ciepłownictwa miasta Pińczowa</t>
  </si>
  <si>
    <t>Budowa ulicy Grodziskowej wraz z łącznikiem do ul. Grunwaldzkiej w Pińczowie - projekt i wykonanie 2006-2008</t>
  </si>
  <si>
    <t>Budowa boisk sportowych przy Gimnazjum nr 1 w Pińczowie 2008-2010</t>
  </si>
  <si>
    <t>Przebudowa targowicy miejskiej przy ul. Republiki Pińczowskiej w Pińczowie 2007-2010</t>
  </si>
  <si>
    <t>Budowa hali widowiskowo-sportowej i otwartej uzupełniającej infrastrultury sportowo-rekreacyjnej z niezbędną infrastrukturą techniczną na nieruchomościach położonych w Pińczowie obręb 12 stanowiących własność Powiatu i Gminy 2007-2009</t>
  </si>
  <si>
    <t>Komputeryzacja Urzędu -projekt unijny</t>
  </si>
  <si>
    <t>Razem dział 750</t>
  </si>
  <si>
    <t>Razem dział 851</t>
  </si>
  <si>
    <t>1. Szkoły Podstawowe</t>
  </si>
  <si>
    <t>2. Przedszkola</t>
  </si>
  <si>
    <t>3. Gimnazja</t>
  </si>
  <si>
    <t>4. Świetlice</t>
  </si>
  <si>
    <t>1. Przedszkola</t>
  </si>
  <si>
    <t>2. MOSIR</t>
  </si>
  <si>
    <t>Zespół Ekonomiczno Administracyjny Szkół i Przedszkoli w Pińczowie</t>
  </si>
  <si>
    <t>Utrzymanie przedszkoli</t>
  </si>
  <si>
    <t>Miejski Ośrodek Sportu i Rekreacji w Pińczowie</t>
  </si>
  <si>
    <t>Utrzymanie terenów sportowych i pływalni miejskiej</t>
  </si>
  <si>
    <t>Samodzielny Zakład Opieki Zdrowotnej w Pińczowie</t>
  </si>
  <si>
    <t>Zagospodarowanie  czasu  wolnego dzieci i młodzieży  z gminy  Pińczów poprzez  zajęcia sportowe / propagujące zdrowy styl  życia bez  alkoholu, narkotyków i innych używek/</t>
  </si>
  <si>
    <t>Organizacja wolnego czasu i aktywizacja społeczna dzieci i młodzieży z Gminy Pińczów poprzez zajęcia sportowe /propagujące zdrowy styl życia bez alkoholu, narkotyków i innych używek/: prowadzenie pozalekcyknych zajęć nauki pływania dla wszystkich zainteresowanych dzieci i młodzieży z Gminy Pińczów</t>
  </si>
  <si>
    <t>wyłoniona w drodze konkursu</t>
  </si>
  <si>
    <t>Grzywny, mandaty i inne kary pieniężne od osób fizycznych § 0570</t>
  </si>
  <si>
    <t>Grzywny i inne kary pieniężne od osób prawnych i innych jednostek organizacyjnych § 0580</t>
  </si>
  <si>
    <t>Wpływy z różnych opłat § 0690</t>
  </si>
  <si>
    <t>Pozostałe odsetki  § 0920</t>
  </si>
  <si>
    <t xml:space="preserve">Zakup materiałów i wyposażenia § 4210 </t>
  </si>
  <si>
    <t>Zakup usług pozostałych § 4300</t>
  </si>
  <si>
    <t>Wydatki inwestycyjne funduszy celowych § 6110</t>
  </si>
  <si>
    <t>Razem dział 751</t>
  </si>
  <si>
    <t>Razem dział 852</t>
  </si>
  <si>
    <t>Wykup gruntu</t>
  </si>
  <si>
    <t>Budowa ciągu pieszego tzw. Stoku - projekt i wykonawstwo 2006-2009</t>
  </si>
  <si>
    <t>Budowa przydomowych oczyszczalni ścieków w Gminie Pińczów 2008-2010</t>
  </si>
  <si>
    <t>Budowa ścieżki rowerowej przebiegającej przez tereny gmin: Busko-Zdrój, Wiślica i Pińczów - po śladach torów kolejowych - wspólna realizacja 2008-2009</t>
  </si>
  <si>
    <t>A. 100 000    
B. 0
C. 0
D. 0</t>
  </si>
  <si>
    <t>A. 100 000  MEN
B. 0
C. 0
D. 0</t>
  </si>
  <si>
    <t>01009</t>
  </si>
  <si>
    <t>Termomodernizacja Gimnazjum nr 1 i SP nr 2 w Pińczowie 2008-2009</t>
  </si>
  <si>
    <t>Upowszechnianie kultury i sportu wśród społeczności lokalnej Gminy Pińczów oraz promocja regionu na arenie krajowej i międzynarodowej</t>
  </si>
  <si>
    <t>Termomodernizacja Gimnazjum nr 2 w Pińczowie</t>
  </si>
  <si>
    <t>Nagrody o charakterze szczególnym niezaliczone do wynagrodzeń § 3040</t>
  </si>
  <si>
    <t>Plan limitów wydatków na wieloletnie programy inwestycyjne w latach 2008 - 2010</t>
  </si>
  <si>
    <t>Zadania inwestycyjne roczne w 2008 r.</t>
  </si>
  <si>
    <t>Plan przychodów i wydatków zakładów budżetowych, gospodarstw pomocniczych</t>
  </si>
  <si>
    <t>Plan dotacji przedmiotowych w 2008 r.</t>
  </si>
  <si>
    <r>
      <t>Dotacje celowe</t>
    </r>
    <r>
      <rPr>
        <b/>
        <sz val="12"/>
        <rFont val="Arial CE"/>
        <family val="2"/>
      </rPr>
      <t xml:space="preserve"> </t>
    </r>
  </si>
  <si>
    <t>Przebudowa drogi Borków-Chomentówek</t>
  </si>
  <si>
    <t>Opracowanie koncepcji na przeniesienie Ośrodka Zdrowia w Gackach</t>
  </si>
  <si>
    <t>Budowa drogi dojazdowej do osiedla domków jednorodzinnych na ulicy Łakowej w Pińczowie</t>
  </si>
  <si>
    <t>Przebudowa drogi w Skrzypiowie (dz. 291)</t>
  </si>
  <si>
    <t>Budowa oświetlenia przy garażach od ul. Batalionów Chłopskich i ul. Polnej</t>
  </si>
  <si>
    <t>Razem dzial 921</t>
  </si>
  <si>
    <t>Modernizacja Miejskiego Ośrodka Sportu i Rekreacji w Pińczowie 2008-2010</t>
  </si>
  <si>
    <t>Środki na dofinansowanie Jednostki Realizującej Projekt</t>
  </si>
  <si>
    <t>Wodociągi Pińczowskie sp zoo</t>
  </si>
  <si>
    <t>Opracowanie dokumentacji projektowej i specyfikacji technicznych wykonania i odbioru robót budowlanych sieci kanalizacyjnej w aglomeracjach Pińczów i Gacki"</t>
  </si>
  <si>
    <t>Partycypacja w kosztach przebudowy ulicy Bat. Chłopskich w Pińczowie 2006-2008</t>
  </si>
  <si>
    <t>Rozbudowa drogi wojewódzkiej Nr 766 relacji Morawica-Węchadłów na odcinku Brzeście - ulica Batalionów Chlopskich w miejscowości Pińczów 2007-2009</t>
  </si>
  <si>
    <t>Przebudowa ulicy Republiki Pińczowskiej 2006-2009</t>
  </si>
  <si>
    <t>Budowa zjazdu wraz z przebudową układu komunikacyjnego przy Gimnazjum Nr 1 w Pińczowie</t>
  </si>
  <si>
    <t>Oświetlenie uliczne (ul. Grunwaldzka i Jana Pawła II przy kościele p.w. Miłoszierdzia Bożego w Pińczowie</t>
  </si>
  <si>
    <t>Wykonanie przyłącza kanalizacyjnego do hangaru w Pińczowie</t>
  </si>
  <si>
    <t xml:space="preserve">Przebudowa drogi w Młodzawach Dużych (nr ewd. Gruntów 184) </t>
  </si>
  <si>
    <t>Budowa oświetlenia drogowego w Młodzawach Dużych</t>
  </si>
  <si>
    <t>Przebudowa chodnika na ulicy Wesołej w Pińczowie</t>
  </si>
  <si>
    <t>11.</t>
  </si>
  <si>
    <t xml:space="preserve">Środki na zakup okień w Przychodni Rejonowej Nr 1 w Pińczowie i w Ośrodku Zdrowia w Kozubowie </t>
  </si>
  <si>
    <t>Przebudowa drogi Krzyżanowice Średnie - Gacki wieś</t>
  </si>
  <si>
    <t>Partycypacja w kosztach remontu chodnika w m. Pińczów od mostu na rz. Nida w stronę Skrzypiowa w ciągu drogi wojewódzkiej nr 766</t>
  </si>
  <si>
    <t>Budowa chodnika w Bogucicach - projekt</t>
  </si>
  <si>
    <t>3</t>
  </si>
  <si>
    <t>Zakup lekkiego samochodu pożarniczego dla Ochotniczej Straży Pożarnej w Krzyżanowicach</t>
  </si>
  <si>
    <t>Razem dział 754</t>
  </si>
  <si>
    <t>Przebudowa ulicy Polnej 2007-2009</t>
  </si>
  <si>
    <t>Przebudowa ul. 7-Źródeł w Pińczowie 2008-2009</t>
  </si>
  <si>
    <t>Przebudowa ulicy Spółdzielczej w Pińczowie 2008-2009</t>
  </si>
  <si>
    <t>Budowa Sali gimnastycznej przy Szkole Podstawowej Nr 1 w Pińczowie 2008-2010</t>
  </si>
  <si>
    <t>Partycypacja w kosztach remontu chodnika w m. Pińczów od mostu na rz. Nida w stronę Skrzypiowaw ciągu drogi wojewódzkiej nr 766</t>
  </si>
  <si>
    <t>Budowa ścieżki rowerowej przebiegającej przez tereny gmin: Busko-Zdrój, Wiślica i Pińczów - po śladach torów kolejowych - wspólma realizacja</t>
  </si>
  <si>
    <r>
      <t xml:space="preserve">Zakup usług remontowych </t>
    </r>
    <r>
      <rPr>
        <sz val="10"/>
        <rFont val="Arial"/>
        <family val="0"/>
      </rPr>
      <t>§ 4270</t>
    </r>
  </si>
  <si>
    <t xml:space="preserve">Przebudowa, modernizacja i wyposażenie Pińczowskiego Samorządowego Centrum Kultury w Pińczowie </t>
  </si>
  <si>
    <t>Razem dział 921</t>
  </si>
  <si>
    <t>Remont pomieszczeń pod potrzeby biblioteki i świetlicy w budynku nr 5 w Gackach</t>
  </si>
  <si>
    <t>Województwo Świętokrzyskie</t>
  </si>
  <si>
    <t xml:space="preserve">A.      
B.
C. 
D. </t>
  </si>
  <si>
    <t>Wykonanie przyłącza energetycznego do budynku Urzędu Miejskiego</t>
  </si>
  <si>
    <t xml:space="preserve">A.      
B. 30 000 Dotacja z FOGR
C.
D. </t>
  </si>
  <si>
    <t>Remont i modernizacja budynku OSP w Chruścicach</t>
  </si>
  <si>
    <t>Wynagrodzenia związane z pracą komisji architektonicznej na rzecz gminy Kije</t>
  </si>
  <si>
    <t>Na zakup i montaż ogrodzenia stadionowego zewnętrznego i wewnętrznego</t>
  </si>
  <si>
    <t>Zapobieganie chorobom i urazom lub inne programy zdrowotne oraz promocja zdrowia (badania diagnostyczne)</t>
  </si>
  <si>
    <t>Przebudowa oświetlenia na oś. Grodzisko w Pińczowie</t>
  </si>
  <si>
    <t>Na zakup i montaż 208 szt krzesełek stadionowych</t>
  </si>
  <si>
    <t>Kompleksowe zwodociągowanie Gminy Pińczów 2008-2009</t>
  </si>
  <si>
    <t>Przewodniczący</t>
  </si>
  <si>
    <t>Rady Miejskiej</t>
  </si>
  <si>
    <t>Marek OMASTA</t>
  </si>
  <si>
    <t>Załącznik nr 3 do  Uchwały Nr XXV/222/08 Rady Miejskiej w Pińczowie                                             z dnia 28 sierpnia 2008 r.                                                        w sprawie zmian w budżecie Gminy na rok 2008</t>
  </si>
  <si>
    <t>Załącznik nr 4 do  Uchwały Nr XXV/222/08                                                                                              Rady Miejskiej w Pińczowie z dnia 28 sierpnia 2008 r.                                                       w sprawie zmian w budżecie Gminy na rok 2008</t>
  </si>
  <si>
    <t>Załącznik nr 5 do  Uchwały Nr XXV/222/08                                                                                             Rady Miejskiej w Pińczowie z dnia 28 sierpnia 2008 r.                                                       w sprawie zmian w budżecie Gminy na rok 2008</t>
  </si>
  <si>
    <t>Załącznik nr 6 do  Uchwały Nr XXV/222/08                                                                                             Rady Miejskiej w Pińczowie z dnia 28 sierpnia 2008 r.                                                       w sprawie zmian w budżecie Gminy na rok 2008</t>
  </si>
  <si>
    <t>Załącznik nr 7 do Uchwały                                            Nr XXV/222/08    Rady Miejskiej                                         w Pińczowie z dnia 28 sierpnia 2008 r.                                        w sprawie uchwalenia budżetu Gminy na rok 2008</t>
  </si>
  <si>
    <t xml:space="preserve">Przewodniczący </t>
  </si>
  <si>
    <t xml:space="preserve">Załącznik nr 8 do  Uchwały Nr XXV/222/08                                                                                            Rady Miejskiej w Pińczowie z dnia 28 sierpnia 2008 r.                                                     w sprawie zmian w budżecie Gminy na rok 2008       </t>
  </si>
  <si>
    <t xml:space="preserve">Załącznik nr 9 do  Uchwały Nr XXV/222/08                                                                                             Rady Miejskiej w Pińczowie z dnia 28 sierpnia 2008 r.                                                        w sprawie zmian w budżecie Gminy na rok 2008 </t>
  </si>
  <si>
    <t>Załącznik nr 10 do  Uchwały Nr XXV/222/08                                                              Rady Miejskiej w Pińczowie                                                                                              z dnia 28 sierpnia 2008 r.  w sprawie zmian w budżecie Gminy na rok 2008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</si>
</sst>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</numFmts>
  <fonts count="36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b/>
      <sz val="13"/>
      <name val="Arial CE"/>
      <family val="2"/>
    </font>
    <font>
      <b/>
      <sz val="1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2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left" vertical="center" indent="2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vertical="center"/>
    </xf>
    <xf numFmtId="0" fontId="31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3" fontId="33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top" wrapText="1"/>
    </xf>
    <xf numFmtId="0" fontId="31" fillId="0" borderId="10" xfId="0" applyNumberFormat="1" applyFont="1" applyBorder="1" applyAlignment="1">
      <alignment wrapText="1"/>
    </xf>
    <xf numFmtId="0" fontId="34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32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31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 wrapText="1"/>
    </xf>
    <xf numFmtId="1" fontId="4" fillId="2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49" fontId="32" fillId="0" borderId="18" xfId="0" applyNumberFormat="1" applyFont="1" applyBorder="1" applyAlignment="1">
      <alignment horizontal="center" vertical="center"/>
    </xf>
    <xf numFmtId="49" fontId="32" fillId="0" borderId="19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PageLayoutView="0" workbookViewId="0" topLeftCell="H1">
      <selection activeCell="M1" sqref="M1:O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7.00390625" style="1" customWidth="1"/>
    <col min="5" max="5" width="14.625" style="1" customWidth="1"/>
    <col min="6" max="7" width="11.25390625" style="1" customWidth="1"/>
    <col min="8" max="8" width="12.375" style="1" customWidth="1"/>
    <col min="9" max="9" width="15.375" style="1" customWidth="1"/>
    <col min="10" max="10" width="14.25390625" style="1" customWidth="1"/>
    <col min="11" max="11" width="12.875" style="1" customWidth="1"/>
    <col min="12" max="12" width="11.25390625" style="1" customWidth="1"/>
    <col min="13" max="13" width="12.625" style="1" customWidth="1"/>
    <col min="14" max="14" width="10.25390625" style="1" customWidth="1"/>
    <col min="15" max="15" width="16.75390625" style="1" customWidth="1"/>
    <col min="16" max="16384" width="9.125" style="1" customWidth="1"/>
  </cols>
  <sheetData>
    <row r="1" spans="13:15" ht="12.75" customHeight="1">
      <c r="M1" s="110" t="s">
        <v>223</v>
      </c>
      <c r="N1" s="110"/>
      <c r="O1" s="110"/>
    </row>
    <row r="2" spans="13:15" ht="12.75">
      <c r="M2" s="110"/>
      <c r="N2" s="110"/>
      <c r="O2" s="110"/>
    </row>
    <row r="3" spans="13:15" ht="12.75">
      <c r="M3" s="110"/>
      <c r="N3" s="110"/>
      <c r="O3" s="110"/>
    </row>
    <row r="4" spans="13:15" ht="12.75">
      <c r="M4" s="110"/>
      <c r="N4" s="110"/>
      <c r="O4" s="110"/>
    </row>
    <row r="5" spans="1:15" ht="18">
      <c r="A5" s="111" t="s">
        <v>167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ht="10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 t="s">
        <v>12</v>
      </c>
    </row>
    <row r="7" spans="1:15" s="13" customFormat="1" ht="19.5" customHeight="1">
      <c r="A7" s="112" t="s">
        <v>15</v>
      </c>
      <c r="B7" s="112" t="s">
        <v>1</v>
      </c>
      <c r="C7" s="112" t="s">
        <v>11</v>
      </c>
      <c r="D7" s="109" t="s">
        <v>30</v>
      </c>
      <c r="E7" s="109" t="s">
        <v>16</v>
      </c>
      <c r="F7" s="109" t="s">
        <v>36</v>
      </c>
      <c r="G7" s="109" t="s">
        <v>19</v>
      </c>
      <c r="H7" s="109"/>
      <c r="I7" s="109"/>
      <c r="J7" s="109"/>
      <c r="K7" s="109"/>
      <c r="L7" s="109"/>
      <c r="M7" s="109"/>
      <c r="N7" s="109"/>
      <c r="O7" s="109" t="s">
        <v>17</v>
      </c>
    </row>
    <row r="8" spans="1:15" s="13" customFormat="1" ht="19.5" customHeight="1">
      <c r="A8" s="112"/>
      <c r="B8" s="112"/>
      <c r="C8" s="112"/>
      <c r="D8" s="109"/>
      <c r="E8" s="109"/>
      <c r="F8" s="109"/>
      <c r="G8" s="109" t="s">
        <v>37</v>
      </c>
      <c r="H8" s="109" t="s">
        <v>8</v>
      </c>
      <c r="I8" s="109"/>
      <c r="J8" s="109"/>
      <c r="K8" s="109"/>
      <c r="L8" s="109" t="s">
        <v>14</v>
      </c>
      <c r="M8" s="109" t="s">
        <v>38</v>
      </c>
      <c r="N8" s="109" t="s">
        <v>39</v>
      </c>
      <c r="O8" s="109"/>
    </row>
    <row r="9" spans="1:15" s="13" customFormat="1" ht="29.25" customHeight="1">
      <c r="A9" s="112"/>
      <c r="B9" s="112"/>
      <c r="C9" s="112"/>
      <c r="D9" s="109"/>
      <c r="E9" s="109"/>
      <c r="F9" s="109"/>
      <c r="G9" s="109"/>
      <c r="H9" s="109" t="s">
        <v>32</v>
      </c>
      <c r="I9" s="109" t="s">
        <v>28</v>
      </c>
      <c r="J9" s="109" t="s">
        <v>33</v>
      </c>
      <c r="K9" s="109" t="s">
        <v>29</v>
      </c>
      <c r="L9" s="109"/>
      <c r="M9" s="109"/>
      <c r="N9" s="109"/>
      <c r="O9" s="109"/>
    </row>
    <row r="10" spans="1:15" s="13" customFormat="1" ht="19.5" customHeight="1">
      <c r="A10" s="112"/>
      <c r="B10" s="112"/>
      <c r="C10" s="112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15" s="13" customFormat="1" ht="19.5" customHeight="1">
      <c r="A11" s="112"/>
      <c r="B11" s="112"/>
      <c r="C11" s="112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15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N12" s="6"/>
      <c r="O12" s="6">
        <v>13</v>
      </c>
    </row>
    <row r="13" spans="1:15" ht="51">
      <c r="A13" s="37" t="s">
        <v>5</v>
      </c>
      <c r="B13" s="38" t="s">
        <v>81</v>
      </c>
      <c r="C13" s="38" t="s">
        <v>82</v>
      </c>
      <c r="D13" s="39" t="s">
        <v>87</v>
      </c>
      <c r="E13" s="40">
        <f>G13+L13+M13+N13+F13</f>
        <v>213000</v>
      </c>
      <c r="F13" s="40">
        <v>23000</v>
      </c>
      <c r="G13" s="40">
        <v>0</v>
      </c>
      <c r="H13" s="40">
        <f>G13</f>
        <v>0</v>
      </c>
      <c r="I13" s="40">
        <v>0</v>
      </c>
      <c r="J13" s="41" t="s">
        <v>88</v>
      </c>
      <c r="K13" s="40">
        <v>0</v>
      </c>
      <c r="L13" s="40">
        <v>190000</v>
      </c>
      <c r="M13" s="40">
        <v>0</v>
      </c>
      <c r="N13" s="40">
        <v>0</v>
      </c>
      <c r="O13" s="42" t="s">
        <v>89</v>
      </c>
    </row>
    <row r="14" spans="1:15" ht="51">
      <c r="A14" s="37" t="s">
        <v>6</v>
      </c>
      <c r="B14" s="38" t="s">
        <v>81</v>
      </c>
      <c r="C14" s="38" t="s">
        <v>82</v>
      </c>
      <c r="D14" s="39" t="s">
        <v>90</v>
      </c>
      <c r="E14" s="40">
        <f aca="true" t="shared" si="0" ref="E14:E54">G14+L14+M14+N14+F14</f>
        <v>234000</v>
      </c>
      <c r="F14" s="40">
        <v>14000</v>
      </c>
      <c r="G14" s="40">
        <f>H14+I14</f>
        <v>220000</v>
      </c>
      <c r="H14" s="40">
        <f>60000+205235-80000</f>
        <v>185235</v>
      </c>
      <c r="I14" s="40">
        <v>34765</v>
      </c>
      <c r="J14" s="41" t="s">
        <v>88</v>
      </c>
      <c r="K14" s="40">
        <v>0</v>
      </c>
      <c r="L14" s="40">
        <v>0</v>
      </c>
      <c r="M14" s="40">
        <v>0</v>
      </c>
      <c r="N14" s="40">
        <v>0</v>
      </c>
      <c r="O14" s="42" t="s">
        <v>89</v>
      </c>
    </row>
    <row r="15" spans="1:15" ht="51">
      <c r="A15" s="37" t="s">
        <v>7</v>
      </c>
      <c r="B15" s="38" t="s">
        <v>81</v>
      </c>
      <c r="C15" s="38" t="s">
        <v>82</v>
      </c>
      <c r="D15" s="39" t="s">
        <v>91</v>
      </c>
      <c r="E15" s="40">
        <f t="shared" si="0"/>
        <v>128500</v>
      </c>
      <c r="F15" s="40">
        <v>8500</v>
      </c>
      <c r="G15" s="40">
        <v>0</v>
      </c>
      <c r="H15" s="40">
        <v>0</v>
      </c>
      <c r="I15" s="40">
        <v>0</v>
      </c>
      <c r="J15" s="41" t="s">
        <v>88</v>
      </c>
      <c r="K15" s="40">
        <v>0</v>
      </c>
      <c r="L15" s="40">
        <v>120000</v>
      </c>
      <c r="M15" s="40">
        <v>0</v>
      </c>
      <c r="N15" s="40">
        <v>0</v>
      </c>
      <c r="O15" s="42" t="s">
        <v>89</v>
      </c>
    </row>
    <row r="16" spans="1:15" ht="51">
      <c r="A16" s="37" t="s">
        <v>0</v>
      </c>
      <c r="B16" s="38" t="s">
        <v>81</v>
      </c>
      <c r="C16" s="38" t="s">
        <v>82</v>
      </c>
      <c r="D16" s="39" t="s">
        <v>92</v>
      </c>
      <c r="E16" s="40">
        <f t="shared" si="0"/>
        <v>202000</v>
      </c>
      <c r="F16" s="40">
        <v>132500</v>
      </c>
      <c r="G16" s="40">
        <f>180000-54000-50000-6500</f>
        <v>69500</v>
      </c>
      <c r="H16" s="40">
        <f>G16</f>
        <v>69500</v>
      </c>
      <c r="I16" s="40">
        <v>0</v>
      </c>
      <c r="J16" s="41" t="s">
        <v>88</v>
      </c>
      <c r="K16" s="40">
        <v>0</v>
      </c>
      <c r="L16" s="40">
        <v>0</v>
      </c>
      <c r="M16" s="40">
        <v>0</v>
      </c>
      <c r="N16" s="40">
        <v>0</v>
      </c>
      <c r="O16" s="42" t="s">
        <v>89</v>
      </c>
    </row>
    <row r="17" spans="1:15" ht="51">
      <c r="A17" s="37" t="s">
        <v>74</v>
      </c>
      <c r="B17" s="38" t="s">
        <v>81</v>
      </c>
      <c r="C17" s="38" t="s">
        <v>82</v>
      </c>
      <c r="D17" s="39" t="s">
        <v>93</v>
      </c>
      <c r="E17" s="40">
        <f t="shared" si="0"/>
        <v>180000</v>
      </c>
      <c r="F17" s="40">
        <v>30000</v>
      </c>
      <c r="G17" s="40">
        <v>10000</v>
      </c>
      <c r="H17" s="40">
        <v>10000</v>
      </c>
      <c r="I17" s="40">
        <v>0</v>
      </c>
      <c r="J17" s="41" t="s">
        <v>88</v>
      </c>
      <c r="K17" s="40">
        <v>0</v>
      </c>
      <c r="L17" s="40">
        <v>140000</v>
      </c>
      <c r="M17" s="40">
        <v>0</v>
      </c>
      <c r="N17" s="40">
        <v>0</v>
      </c>
      <c r="O17" s="42" t="s">
        <v>89</v>
      </c>
    </row>
    <row r="18" spans="1:15" ht="51">
      <c r="A18" s="37" t="s">
        <v>75</v>
      </c>
      <c r="B18" s="38" t="s">
        <v>81</v>
      </c>
      <c r="C18" s="38" t="s">
        <v>82</v>
      </c>
      <c r="D18" s="39" t="s">
        <v>94</v>
      </c>
      <c r="E18" s="40">
        <f t="shared" si="0"/>
        <v>210000</v>
      </c>
      <c r="F18" s="40">
        <v>30000</v>
      </c>
      <c r="G18" s="40">
        <f>10000-10000</f>
        <v>0</v>
      </c>
      <c r="H18" s="40">
        <v>0</v>
      </c>
      <c r="I18" s="40">
        <v>0</v>
      </c>
      <c r="J18" s="41" t="s">
        <v>88</v>
      </c>
      <c r="K18" s="40">
        <v>0</v>
      </c>
      <c r="L18" s="40">
        <v>180000</v>
      </c>
      <c r="M18" s="40">
        <v>0</v>
      </c>
      <c r="N18" s="40">
        <v>0</v>
      </c>
      <c r="O18" s="42" t="s">
        <v>89</v>
      </c>
    </row>
    <row r="19" spans="1:15" ht="51">
      <c r="A19" s="37" t="s">
        <v>76</v>
      </c>
      <c r="B19" s="38" t="s">
        <v>81</v>
      </c>
      <c r="C19" s="38" t="s">
        <v>82</v>
      </c>
      <c r="D19" s="39" t="s">
        <v>95</v>
      </c>
      <c r="E19" s="40">
        <f t="shared" si="0"/>
        <v>365000</v>
      </c>
      <c r="F19" s="40">
        <v>50000</v>
      </c>
      <c r="G19" s="40">
        <f>H19</f>
        <v>55000</v>
      </c>
      <c r="H19" s="40">
        <f>10000+45000</f>
        <v>55000</v>
      </c>
      <c r="I19" s="40">
        <v>0</v>
      </c>
      <c r="J19" s="41" t="s">
        <v>88</v>
      </c>
      <c r="K19" s="40">
        <v>0</v>
      </c>
      <c r="L19" s="40">
        <v>260000</v>
      </c>
      <c r="M19" s="40">
        <v>0</v>
      </c>
      <c r="N19" s="40">
        <v>0</v>
      </c>
      <c r="O19" s="42" t="s">
        <v>89</v>
      </c>
    </row>
    <row r="20" spans="1:15" ht="127.5">
      <c r="A20" s="37" t="s">
        <v>77</v>
      </c>
      <c r="B20" s="38" t="s">
        <v>81</v>
      </c>
      <c r="C20" s="38" t="s">
        <v>82</v>
      </c>
      <c r="D20" s="39" t="s">
        <v>96</v>
      </c>
      <c r="E20" s="40">
        <f t="shared" si="0"/>
        <v>2111000</v>
      </c>
      <c r="F20" s="40">
        <v>111000</v>
      </c>
      <c r="G20" s="40">
        <v>0</v>
      </c>
      <c r="H20" s="40">
        <v>0</v>
      </c>
      <c r="I20" s="40">
        <v>0</v>
      </c>
      <c r="J20" s="41" t="s">
        <v>88</v>
      </c>
      <c r="K20" s="40">
        <v>0</v>
      </c>
      <c r="L20" s="40">
        <v>1000000</v>
      </c>
      <c r="M20" s="40">
        <v>1000000</v>
      </c>
      <c r="N20" s="40">
        <v>0</v>
      </c>
      <c r="O20" s="42" t="s">
        <v>89</v>
      </c>
    </row>
    <row r="21" spans="1:15" ht="63.75">
      <c r="A21" s="37" t="s">
        <v>78</v>
      </c>
      <c r="B21" s="38" t="s">
        <v>81</v>
      </c>
      <c r="C21" s="38" t="s">
        <v>82</v>
      </c>
      <c r="D21" s="43" t="s">
        <v>158</v>
      </c>
      <c r="E21" s="40">
        <f t="shared" si="0"/>
        <v>800000</v>
      </c>
      <c r="F21" s="40">
        <v>0</v>
      </c>
      <c r="G21" s="40">
        <f>200000+255000</f>
        <v>455000</v>
      </c>
      <c r="H21" s="40">
        <f>40000+75000</f>
        <v>115000</v>
      </c>
      <c r="I21" s="40">
        <f>160000+180000</f>
        <v>340000</v>
      </c>
      <c r="J21" s="41" t="s">
        <v>88</v>
      </c>
      <c r="K21" s="40">
        <v>0</v>
      </c>
      <c r="L21" s="40">
        <f>400000-255000</f>
        <v>145000</v>
      </c>
      <c r="M21" s="40">
        <v>200000</v>
      </c>
      <c r="N21" s="40">
        <v>0</v>
      </c>
      <c r="O21" s="42" t="s">
        <v>89</v>
      </c>
    </row>
    <row r="22" spans="1:15" ht="51">
      <c r="A22" s="37" t="s">
        <v>79</v>
      </c>
      <c r="B22" s="38" t="s">
        <v>81</v>
      </c>
      <c r="C22" s="38" t="s">
        <v>82</v>
      </c>
      <c r="D22" s="43" t="s">
        <v>97</v>
      </c>
      <c r="E22" s="40">
        <f t="shared" si="0"/>
        <v>290000</v>
      </c>
      <c r="F22" s="40">
        <v>50000</v>
      </c>
      <c r="G22" s="40">
        <v>0</v>
      </c>
      <c r="H22" s="40">
        <v>0</v>
      </c>
      <c r="I22" s="40">
        <v>0</v>
      </c>
      <c r="J22" s="41" t="s">
        <v>88</v>
      </c>
      <c r="K22" s="40">
        <v>0</v>
      </c>
      <c r="L22" s="40">
        <v>240000</v>
      </c>
      <c r="M22" s="40">
        <v>0</v>
      </c>
      <c r="N22" s="40">
        <v>0</v>
      </c>
      <c r="O22" s="42" t="s">
        <v>89</v>
      </c>
    </row>
    <row r="23" spans="1:15" ht="51">
      <c r="A23" s="37" t="s">
        <v>191</v>
      </c>
      <c r="B23" s="38" t="s">
        <v>81</v>
      </c>
      <c r="C23" s="38" t="s">
        <v>82</v>
      </c>
      <c r="D23" s="43" t="s">
        <v>219</v>
      </c>
      <c r="E23" s="40">
        <f t="shared" si="0"/>
        <v>4500000</v>
      </c>
      <c r="F23" s="40">
        <v>0</v>
      </c>
      <c r="G23" s="40">
        <v>1000000</v>
      </c>
      <c r="H23" s="40">
        <v>1000000</v>
      </c>
      <c r="I23" s="40">
        <v>0</v>
      </c>
      <c r="J23" s="41" t="s">
        <v>88</v>
      </c>
      <c r="K23" s="40">
        <v>0</v>
      </c>
      <c r="L23" s="40">
        <v>3500000</v>
      </c>
      <c r="M23" s="40">
        <v>0</v>
      </c>
      <c r="N23" s="40">
        <v>0</v>
      </c>
      <c r="O23" s="42" t="s">
        <v>89</v>
      </c>
    </row>
    <row r="24" spans="1:15" ht="12.75">
      <c r="A24" s="108" t="s">
        <v>98</v>
      </c>
      <c r="B24" s="108"/>
      <c r="C24" s="108"/>
      <c r="D24" s="108"/>
      <c r="E24" s="44">
        <f>E20+E19+E18+E17+E16+E15+E14+E13+E21+E22+E23</f>
        <v>9233500</v>
      </c>
      <c r="F24" s="44">
        <f>F20+F19+F18+F17+F16+F15+F14+F13+F21+F22+F23</f>
        <v>449000</v>
      </c>
      <c r="G24" s="44">
        <f>G20+G19+G18+G17+G16+G15+G14+G13+G21+G22+G23</f>
        <v>1809500</v>
      </c>
      <c r="H24" s="44">
        <f>H20+H19+H18+H17+H16+H15+H14+H13+H21+H22+H23</f>
        <v>1434735</v>
      </c>
      <c r="I24" s="44">
        <f>I20+I19+I18+I17+I16+I15+I14+I13+I21+I22+I23</f>
        <v>374765</v>
      </c>
      <c r="J24" s="44" t="s">
        <v>99</v>
      </c>
      <c r="K24" s="44">
        <f>K20+K19+K18+K17+K16+K15+K14+K13+K21+K22+K23</f>
        <v>0</v>
      </c>
      <c r="L24" s="44">
        <f>L20+L19+L18+L17+L16+L15+L14+L13+L21+L22+L23</f>
        <v>5775000</v>
      </c>
      <c r="M24" s="44">
        <f>M20+M19+M18+M17+M16+M15+M14+M13+M21+M22+M23</f>
        <v>1200000</v>
      </c>
      <c r="N24" s="44">
        <f>N20+N19+N18+N17+N16+N15+N14+N13+N21+N22</f>
        <v>0</v>
      </c>
      <c r="O24" s="44" t="s">
        <v>99</v>
      </c>
    </row>
    <row r="25" spans="1:15" ht="63.75">
      <c r="A25" s="37">
        <v>12</v>
      </c>
      <c r="B25" s="38" t="s">
        <v>83</v>
      </c>
      <c r="C25" s="37">
        <v>60013</v>
      </c>
      <c r="D25" s="41" t="s">
        <v>100</v>
      </c>
      <c r="E25" s="40">
        <f t="shared" si="0"/>
        <v>70000</v>
      </c>
      <c r="F25" s="40">
        <v>0</v>
      </c>
      <c r="G25" s="40">
        <f>200000-180000</f>
        <v>20000</v>
      </c>
      <c r="H25" s="40">
        <f>G25</f>
        <v>20000</v>
      </c>
      <c r="I25" s="40">
        <v>0</v>
      </c>
      <c r="J25" s="41" t="s">
        <v>88</v>
      </c>
      <c r="K25" s="40">
        <v>0</v>
      </c>
      <c r="L25" s="40">
        <v>50000</v>
      </c>
      <c r="M25" s="40">
        <v>0</v>
      </c>
      <c r="N25" s="40">
        <v>0</v>
      </c>
      <c r="O25" s="42" t="s">
        <v>89</v>
      </c>
    </row>
    <row r="26" spans="1:15" ht="114.75">
      <c r="A26" s="37">
        <v>13</v>
      </c>
      <c r="B26" s="38" t="s">
        <v>83</v>
      </c>
      <c r="C26" s="37">
        <v>60013</v>
      </c>
      <c r="D26" s="41" t="s">
        <v>101</v>
      </c>
      <c r="E26" s="40">
        <f t="shared" si="0"/>
        <v>270000</v>
      </c>
      <c r="F26" s="40">
        <v>0</v>
      </c>
      <c r="G26" s="40">
        <f>120000-20000</f>
        <v>100000</v>
      </c>
      <c r="H26" s="40">
        <f>G26</f>
        <v>100000</v>
      </c>
      <c r="I26" s="40">
        <v>0</v>
      </c>
      <c r="J26" s="41" t="s">
        <v>88</v>
      </c>
      <c r="K26" s="40">
        <v>0</v>
      </c>
      <c r="L26" s="40">
        <v>170000</v>
      </c>
      <c r="M26" s="40">
        <v>0</v>
      </c>
      <c r="N26" s="40">
        <v>0</v>
      </c>
      <c r="O26" s="42" t="s">
        <v>89</v>
      </c>
    </row>
    <row r="27" spans="1:15" ht="51">
      <c r="A27" s="37">
        <v>14</v>
      </c>
      <c r="B27" s="38" t="s">
        <v>83</v>
      </c>
      <c r="C27" s="37">
        <v>60016</v>
      </c>
      <c r="D27" s="41" t="s">
        <v>102</v>
      </c>
      <c r="E27" s="40">
        <f t="shared" si="0"/>
        <v>144256</v>
      </c>
      <c r="F27" s="40">
        <v>94256</v>
      </c>
      <c r="G27" s="40">
        <v>50000</v>
      </c>
      <c r="H27" s="40">
        <v>50000</v>
      </c>
      <c r="I27" s="40">
        <v>0</v>
      </c>
      <c r="J27" s="41" t="s">
        <v>88</v>
      </c>
      <c r="K27" s="40">
        <v>0</v>
      </c>
      <c r="L27" s="40">
        <v>0</v>
      </c>
      <c r="M27" s="40">
        <v>0</v>
      </c>
      <c r="N27" s="40">
        <v>0</v>
      </c>
      <c r="O27" s="42" t="s">
        <v>89</v>
      </c>
    </row>
    <row r="28" spans="1:15" ht="63.75">
      <c r="A28" s="37">
        <v>15</v>
      </c>
      <c r="B28" s="38" t="s">
        <v>83</v>
      </c>
      <c r="C28" s="37">
        <v>60016</v>
      </c>
      <c r="D28" s="41" t="s">
        <v>157</v>
      </c>
      <c r="E28" s="40">
        <f t="shared" si="0"/>
        <v>1941562</v>
      </c>
      <c r="F28" s="40">
        <v>341562</v>
      </c>
      <c r="G28" s="40">
        <f>300000+180000+120000</f>
        <v>600000</v>
      </c>
      <c r="H28" s="40">
        <f>G28-I28</f>
        <v>600000</v>
      </c>
      <c r="I28" s="40">
        <v>0</v>
      </c>
      <c r="J28" s="41" t="s">
        <v>88</v>
      </c>
      <c r="K28" s="40">
        <v>0</v>
      </c>
      <c r="L28" s="40">
        <v>1000000</v>
      </c>
      <c r="M28" s="40">
        <v>0</v>
      </c>
      <c r="N28" s="40">
        <v>0</v>
      </c>
      <c r="O28" s="42" t="s">
        <v>89</v>
      </c>
    </row>
    <row r="29" spans="1:15" ht="51">
      <c r="A29" s="37">
        <v>16</v>
      </c>
      <c r="B29" s="38" t="s">
        <v>83</v>
      </c>
      <c r="C29" s="37">
        <v>60016</v>
      </c>
      <c r="D29" s="41" t="s">
        <v>184</v>
      </c>
      <c r="E29" s="40">
        <f t="shared" si="0"/>
        <v>4600000</v>
      </c>
      <c r="F29" s="40">
        <v>0</v>
      </c>
      <c r="G29" s="40">
        <v>80000</v>
      </c>
      <c r="H29" s="40">
        <f>G29</f>
        <v>80000</v>
      </c>
      <c r="I29" s="40">
        <v>0</v>
      </c>
      <c r="J29" s="41" t="s">
        <v>88</v>
      </c>
      <c r="K29" s="40"/>
      <c r="L29" s="40">
        <v>4520000</v>
      </c>
      <c r="M29" s="40">
        <v>0</v>
      </c>
      <c r="N29" s="40">
        <v>0</v>
      </c>
      <c r="O29" s="42" t="s">
        <v>89</v>
      </c>
    </row>
    <row r="30" spans="1:15" ht="89.25">
      <c r="A30" s="37">
        <v>17</v>
      </c>
      <c r="B30" s="38" t="s">
        <v>83</v>
      </c>
      <c r="C30" s="37">
        <v>60016</v>
      </c>
      <c r="D30" s="41" t="s">
        <v>126</v>
      </c>
      <c r="E30" s="40">
        <f t="shared" si="0"/>
        <v>706000</v>
      </c>
      <c r="F30" s="40">
        <v>106000</v>
      </c>
      <c r="G30" s="40">
        <v>600000</v>
      </c>
      <c r="H30" s="40">
        <v>300000</v>
      </c>
      <c r="I30" s="40">
        <v>300000</v>
      </c>
      <c r="J30" s="41" t="s">
        <v>88</v>
      </c>
      <c r="K30" s="40">
        <v>0</v>
      </c>
      <c r="L30" s="40">
        <v>0</v>
      </c>
      <c r="M30" s="40">
        <v>0</v>
      </c>
      <c r="N30" s="40">
        <v>0</v>
      </c>
      <c r="O30" s="42" t="s">
        <v>89</v>
      </c>
    </row>
    <row r="31" spans="1:15" ht="127.5">
      <c r="A31" s="37">
        <v>18</v>
      </c>
      <c r="B31" s="38" t="s">
        <v>83</v>
      </c>
      <c r="C31" s="37">
        <v>60016</v>
      </c>
      <c r="D31" s="41" t="s">
        <v>159</v>
      </c>
      <c r="E31" s="40">
        <f t="shared" si="0"/>
        <v>951000</v>
      </c>
      <c r="F31" s="40">
        <v>0</v>
      </c>
      <c r="G31" s="40">
        <f>60000-9000</f>
        <v>51000</v>
      </c>
      <c r="H31" s="40">
        <f>G31</f>
        <v>51000</v>
      </c>
      <c r="I31" s="40">
        <v>0</v>
      </c>
      <c r="J31" s="41" t="s">
        <v>88</v>
      </c>
      <c r="K31" s="40">
        <v>0</v>
      </c>
      <c r="L31" s="40">
        <v>900000</v>
      </c>
      <c r="M31" s="40">
        <v>0</v>
      </c>
      <c r="N31" s="40">
        <v>0</v>
      </c>
      <c r="O31" s="42" t="s">
        <v>89</v>
      </c>
    </row>
    <row r="32" spans="1:15" ht="63.75">
      <c r="A32" s="37">
        <v>19</v>
      </c>
      <c r="B32" s="46">
        <v>600</v>
      </c>
      <c r="C32" s="46">
        <v>60016</v>
      </c>
      <c r="D32" s="39" t="s">
        <v>103</v>
      </c>
      <c r="E32" s="40">
        <f t="shared" si="0"/>
        <v>530219</v>
      </c>
      <c r="F32" s="40">
        <v>100219</v>
      </c>
      <c r="G32" s="47">
        <f>H32+I32</f>
        <v>380000</v>
      </c>
      <c r="H32" s="40">
        <f>100000+150000</f>
        <v>250000</v>
      </c>
      <c r="I32" s="40">
        <v>130000</v>
      </c>
      <c r="J32" s="41" t="s">
        <v>88</v>
      </c>
      <c r="K32" s="40">
        <v>0</v>
      </c>
      <c r="L32" s="40">
        <v>50000</v>
      </c>
      <c r="M32" s="40">
        <v>0</v>
      </c>
      <c r="N32" s="40">
        <v>0</v>
      </c>
      <c r="O32" s="42" t="s">
        <v>89</v>
      </c>
    </row>
    <row r="33" spans="1:15" ht="63.75">
      <c r="A33" s="37">
        <v>20</v>
      </c>
      <c r="B33" s="46">
        <v>600</v>
      </c>
      <c r="C33" s="46">
        <v>60016</v>
      </c>
      <c r="D33" s="39" t="s">
        <v>104</v>
      </c>
      <c r="E33" s="40">
        <f t="shared" si="0"/>
        <v>130000</v>
      </c>
      <c r="F33" s="40">
        <v>0</v>
      </c>
      <c r="G33" s="40">
        <f>30000-20000</f>
        <v>10000</v>
      </c>
      <c r="H33" s="40">
        <f>G33</f>
        <v>10000</v>
      </c>
      <c r="I33" s="40">
        <v>0</v>
      </c>
      <c r="J33" s="41" t="s">
        <v>88</v>
      </c>
      <c r="K33" s="40">
        <v>0</v>
      </c>
      <c r="L33" s="40">
        <v>120000</v>
      </c>
      <c r="M33" s="40">
        <v>0</v>
      </c>
      <c r="N33" s="40">
        <v>0</v>
      </c>
      <c r="O33" s="42" t="s">
        <v>89</v>
      </c>
    </row>
    <row r="34" spans="1:15" ht="63.75">
      <c r="A34" s="37">
        <v>21</v>
      </c>
      <c r="B34" s="46">
        <v>600</v>
      </c>
      <c r="C34" s="46">
        <v>60016</v>
      </c>
      <c r="D34" s="39" t="s">
        <v>105</v>
      </c>
      <c r="E34" s="40">
        <f t="shared" si="0"/>
        <v>85000</v>
      </c>
      <c r="F34" s="40">
        <v>5000</v>
      </c>
      <c r="G34" s="40">
        <v>80000</v>
      </c>
      <c r="H34" s="40">
        <v>80000</v>
      </c>
      <c r="I34" s="40">
        <v>0</v>
      </c>
      <c r="J34" s="41" t="s">
        <v>88</v>
      </c>
      <c r="K34" s="40">
        <v>0</v>
      </c>
      <c r="L34" s="40">
        <v>0</v>
      </c>
      <c r="M34" s="40">
        <v>0</v>
      </c>
      <c r="N34" s="40">
        <v>0</v>
      </c>
      <c r="O34" s="42" t="s">
        <v>89</v>
      </c>
    </row>
    <row r="35" spans="1:15" ht="51">
      <c r="A35" s="37">
        <v>22</v>
      </c>
      <c r="B35" s="46">
        <v>600</v>
      </c>
      <c r="C35" s="46">
        <v>60016</v>
      </c>
      <c r="D35" s="39" t="s">
        <v>106</v>
      </c>
      <c r="E35" s="40">
        <f t="shared" si="0"/>
        <v>143000</v>
      </c>
      <c r="F35" s="40">
        <v>0</v>
      </c>
      <c r="G35" s="40">
        <f>H35</f>
        <v>143000</v>
      </c>
      <c r="H35" s="40">
        <f>70000+43000+30000</f>
        <v>143000</v>
      </c>
      <c r="I35" s="40">
        <v>0</v>
      </c>
      <c r="J35" s="41" t="s">
        <v>88</v>
      </c>
      <c r="K35" s="40">
        <v>0</v>
      </c>
      <c r="L35" s="40">
        <v>0</v>
      </c>
      <c r="M35" s="40">
        <v>0</v>
      </c>
      <c r="N35" s="40">
        <v>0</v>
      </c>
      <c r="O35" s="42" t="s">
        <v>89</v>
      </c>
    </row>
    <row r="36" spans="1:15" ht="51">
      <c r="A36" s="37">
        <v>23</v>
      </c>
      <c r="B36" s="46">
        <v>600</v>
      </c>
      <c r="C36" s="46">
        <v>60016</v>
      </c>
      <c r="D36" s="39" t="s">
        <v>199</v>
      </c>
      <c r="E36" s="40">
        <f t="shared" si="0"/>
        <v>910000</v>
      </c>
      <c r="F36" s="40">
        <v>10000</v>
      </c>
      <c r="G36" s="40">
        <f>200000+170000</f>
        <v>370000</v>
      </c>
      <c r="H36" s="40">
        <f>200000+170000</f>
        <v>370000</v>
      </c>
      <c r="I36" s="40">
        <v>0</v>
      </c>
      <c r="J36" s="41" t="s">
        <v>88</v>
      </c>
      <c r="K36" s="40">
        <v>0</v>
      </c>
      <c r="L36" s="40">
        <f>300000+230000</f>
        <v>530000</v>
      </c>
      <c r="M36" s="40">
        <v>0</v>
      </c>
      <c r="N36" s="40">
        <v>0</v>
      </c>
      <c r="O36" s="42" t="s">
        <v>89</v>
      </c>
    </row>
    <row r="37" spans="1:15" ht="51">
      <c r="A37" s="37">
        <v>24</v>
      </c>
      <c r="B37" s="46">
        <v>600</v>
      </c>
      <c r="C37" s="46">
        <v>60016</v>
      </c>
      <c r="D37" s="39" t="s">
        <v>200</v>
      </c>
      <c r="E37" s="40">
        <f t="shared" si="0"/>
        <v>800000</v>
      </c>
      <c r="F37" s="40">
        <v>0</v>
      </c>
      <c r="G37" s="40">
        <v>300000</v>
      </c>
      <c r="H37" s="40">
        <v>300000</v>
      </c>
      <c r="I37" s="40">
        <v>0</v>
      </c>
      <c r="J37" s="41" t="s">
        <v>88</v>
      </c>
      <c r="K37" s="40">
        <v>0</v>
      </c>
      <c r="L37" s="40">
        <f>400000+10000+90000</f>
        <v>500000</v>
      </c>
      <c r="M37" s="40">
        <v>0</v>
      </c>
      <c r="N37" s="40">
        <v>0</v>
      </c>
      <c r="O37" s="42" t="s">
        <v>89</v>
      </c>
    </row>
    <row r="38" spans="1:15" ht="51">
      <c r="A38" s="37">
        <v>25</v>
      </c>
      <c r="B38" s="46">
        <v>600</v>
      </c>
      <c r="C38" s="46">
        <v>60016</v>
      </c>
      <c r="D38" s="39" t="s">
        <v>201</v>
      </c>
      <c r="E38" s="40">
        <f t="shared" si="0"/>
        <v>300000</v>
      </c>
      <c r="F38" s="40">
        <v>0</v>
      </c>
      <c r="G38" s="40">
        <v>80000</v>
      </c>
      <c r="H38" s="40">
        <v>80000</v>
      </c>
      <c r="I38" s="40">
        <v>0</v>
      </c>
      <c r="J38" s="41" t="s">
        <v>88</v>
      </c>
      <c r="K38" s="40">
        <v>0</v>
      </c>
      <c r="L38" s="40">
        <v>220000</v>
      </c>
      <c r="M38" s="40">
        <v>0</v>
      </c>
      <c r="N38" s="40">
        <v>0</v>
      </c>
      <c r="O38" s="42" t="s">
        <v>89</v>
      </c>
    </row>
    <row r="39" spans="1:15" ht="12.75">
      <c r="A39" s="106" t="s">
        <v>107</v>
      </c>
      <c r="B39" s="106"/>
      <c r="C39" s="106"/>
      <c r="D39" s="106"/>
      <c r="E39" s="44">
        <f>SUM(E25:E38)</f>
        <v>11581037</v>
      </c>
      <c r="F39" s="44">
        <f>SUM(F25:F38)</f>
        <v>657037</v>
      </c>
      <c r="G39" s="44">
        <f>SUM(G25:G38)</f>
        <v>2864000</v>
      </c>
      <c r="H39" s="44">
        <f>SUM(H25:H38)</f>
        <v>2434000</v>
      </c>
      <c r="I39" s="44">
        <f>SUM(I25:I38)</f>
        <v>430000</v>
      </c>
      <c r="J39" s="44" t="s">
        <v>99</v>
      </c>
      <c r="K39" s="44">
        <f>K30+K29</f>
        <v>0</v>
      </c>
      <c r="L39" s="44">
        <f>SUM(L25:L38)</f>
        <v>8060000</v>
      </c>
      <c r="M39" s="44">
        <v>0</v>
      </c>
      <c r="N39" s="44">
        <v>0</v>
      </c>
      <c r="O39" s="45" t="s">
        <v>99</v>
      </c>
    </row>
    <row r="40" spans="1:15" ht="51">
      <c r="A40" s="37">
        <v>26</v>
      </c>
      <c r="B40" s="37">
        <v>700</v>
      </c>
      <c r="C40" s="37">
        <v>70095</v>
      </c>
      <c r="D40" s="39" t="s">
        <v>108</v>
      </c>
      <c r="E40" s="40">
        <f t="shared" si="0"/>
        <v>21000</v>
      </c>
      <c r="F40" s="40">
        <v>21000</v>
      </c>
      <c r="G40" s="40">
        <v>0</v>
      </c>
      <c r="H40" s="40">
        <f>G40</f>
        <v>0</v>
      </c>
      <c r="I40" s="40">
        <v>0</v>
      </c>
      <c r="J40" s="41" t="s">
        <v>88</v>
      </c>
      <c r="K40" s="40">
        <v>0</v>
      </c>
      <c r="L40" s="40">
        <v>0</v>
      </c>
      <c r="M40" s="40">
        <v>0</v>
      </c>
      <c r="N40" s="40">
        <v>0</v>
      </c>
      <c r="O40" s="42" t="s">
        <v>89</v>
      </c>
    </row>
    <row r="41" spans="1:15" ht="102">
      <c r="A41" s="37">
        <v>27</v>
      </c>
      <c r="B41" s="37">
        <v>700</v>
      </c>
      <c r="C41" s="37">
        <v>70095</v>
      </c>
      <c r="D41" s="39" t="s">
        <v>109</v>
      </c>
      <c r="E41" s="40">
        <f t="shared" si="0"/>
        <v>0</v>
      </c>
      <c r="F41" s="40">
        <v>0</v>
      </c>
      <c r="G41" s="40">
        <v>0</v>
      </c>
      <c r="H41" s="40">
        <v>0</v>
      </c>
      <c r="I41" s="40">
        <v>0</v>
      </c>
      <c r="J41" s="41" t="s">
        <v>88</v>
      </c>
      <c r="K41" s="40">
        <v>0</v>
      </c>
      <c r="L41" s="40">
        <v>0</v>
      </c>
      <c r="M41" s="40">
        <v>0</v>
      </c>
      <c r="N41" s="40">
        <v>0</v>
      </c>
      <c r="O41" s="42" t="s">
        <v>89</v>
      </c>
    </row>
    <row r="42" spans="1:15" ht="12.75">
      <c r="A42" s="106" t="s">
        <v>110</v>
      </c>
      <c r="B42" s="106"/>
      <c r="C42" s="106"/>
      <c r="D42" s="106"/>
      <c r="E42" s="44">
        <f>E40+E41</f>
        <v>21000</v>
      </c>
      <c r="F42" s="44">
        <f>F40+F41</f>
        <v>21000</v>
      </c>
      <c r="G42" s="44">
        <f>G40+G41</f>
        <v>0</v>
      </c>
      <c r="H42" s="44">
        <f>H40+H41</f>
        <v>0</v>
      </c>
      <c r="I42" s="44">
        <f>I40+I41</f>
        <v>0</v>
      </c>
      <c r="J42" s="44" t="s">
        <v>99</v>
      </c>
      <c r="K42" s="44">
        <f>K41+K40</f>
        <v>0</v>
      </c>
      <c r="L42" s="44">
        <f>L41+L40</f>
        <v>0</v>
      </c>
      <c r="M42" s="44">
        <f>M41+M40</f>
        <v>0</v>
      </c>
      <c r="N42" s="44">
        <f>N41+N40</f>
        <v>0</v>
      </c>
      <c r="O42" s="44" t="s">
        <v>99</v>
      </c>
    </row>
    <row r="43" spans="1:15" ht="63.75">
      <c r="A43" s="42">
        <v>28</v>
      </c>
      <c r="B43" s="42">
        <v>801</v>
      </c>
      <c r="C43" s="42">
        <v>80101</v>
      </c>
      <c r="D43" s="43" t="s">
        <v>111</v>
      </c>
      <c r="E43" s="40">
        <f t="shared" si="0"/>
        <v>437000</v>
      </c>
      <c r="F43" s="40">
        <v>170000</v>
      </c>
      <c r="G43" s="40">
        <f>250000+27000-10000</f>
        <v>267000</v>
      </c>
      <c r="H43" s="40">
        <f>150000+27000-10000</f>
        <v>167000</v>
      </c>
      <c r="I43" s="40">
        <v>0</v>
      </c>
      <c r="J43" s="41" t="s">
        <v>161</v>
      </c>
      <c r="K43" s="40">
        <v>0</v>
      </c>
      <c r="L43" s="40">
        <v>0</v>
      </c>
      <c r="M43" s="40">
        <v>0</v>
      </c>
      <c r="N43" s="40">
        <v>0</v>
      </c>
      <c r="O43" s="42" t="s">
        <v>89</v>
      </c>
    </row>
    <row r="44" spans="1:15" ht="63.75">
      <c r="A44" s="42">
        <v>29</v>
      </c>
      <c r="B44" s="42">
        <v>801</v>
      </c>
      <c r="C44" s="42">
        <v>80101</v>
      </c>
      <c r="D44" s="43" t="s">
        <v>202</v>
      </c>
      <c r="E44" s="40">
        <f t="shared" si="0"/>
        <v>3350000</v>
      </c>
      <c r="F44" s="40">
        <v>0</v>
      </c>
      <c r="G44" s="40">
        <v>50000</v>
      </c>
      <c r="H44" s="40">
        <v>50000</v>
      </c>
      <c r="I44" s="40">
        <v>0</v>
      </c>
      <c r="J44" s="41" t="s">
        <v>88</v>
      </c>
      <c r="K44" s="40">
        <v>0</v>
      </c>
      <c r="L44" s="40">
        <v>100000</v>
      </c>
      <c r="M44" s="40">
        <v>3200000</v>
      </c>
      <c r="N44" s="40"/>
      <c r="O44" s="42" t="s">
        <v>89</v>
      </c>
    </row>
    <row r="45" spans="1:15" ht="51">
      <c r="A45" s="42">
        <v>30</v>
      </c>
      <c r="B45" s="42">
        <v>801</v>
      </c>
      <c r="C45" s="42">
        <v>80110</v>
      </c>
      <c r="D45" s="43" t="s">
        <v>127</v>
      </c>
      <c r="E45" s="40">
        <f t="shared" si="0"/>
        <v>901000</v>
      </c>
      <c r="F45" s="40">
        <v>0</v>
      </c>
      <c r="G45" s="40">
        <f>3000-2000</f>
        <v>1000</v>
      </c>
      <c r="H45" s="40">
        <f>G45</f>
        <v>1000</v>
      </c>
      <c r="I45" s="40">
        <v>0</v>
      </c>
      <c r="J45" s="41" t="s">
        <v>88</v>
      </c>
      <c r="K45" s="40">
        <v>0</v>
      </c>
      <c r="L45" s="40">
        <v>500000</v>
      </c>
      <c r="M45" s="40">
        <v>400000</v>
      </c>
      <c r="N45" s="40"/>
      <c r="O45" s="42" t="s">
        <v>89</v>
      </c>
    </row>
    <row r="46" spans="1:15" s="55" customFormat="1" ht="51">
      <c r="A46" s="106" t="s">
        <v>112</v>
      </c>
      <c r="B46" s="106"/>
      <c r="C46" s="106"/>
      <c r="D46" s="106"/>
      <c r="E46" s="44">
        <f>E45+E43+E44</f>
        <v>4688000</v>
      </c>
      <c r="F46" s="44">
        <f>F45+F43+F44</f>
        <v>170000</v>
      </c>
      <c r="G46" s="44">
        <f>G45+G43+G44</f>
        <v>318000</v>
      </c>
      <c r="H46" s="44">
        <f>H45+H43+H44</f>
        <v>218000</v>
      </c>
      <c r="I46" s="44">
        <f>I45+I43+I44</f>
        <v>0</v>
      </c>
      <c r="J46" s="54" t="s">
        <v>160</v>
      </c>
      <c r="K46" s="44">
        <f>K45+K43+K44</f>
        <v>0</v>
      </c>
      <c r="L46" s="44">
        <f>L45+L43+L44</f>
        <v>600000</v>
      </c>
      <c r="M46" s="44">
        <f>M45+M43+M44</f>
        <v>3600000</v>
      </c>
      <c r="N46" s="44">
        <f>N45+N43+N44</f>
        <v>0</v>
      </c>
      <c r="O46" s="44" t="s">
        <v>99</v>
      </c>
    </row>
    <row r="47" spans="1:15" ht="63.75">
      <c r="A47" s="37">
        <v>31</v>
      </c>
      <c r="B47" s="38" t="s">
        <v>86</v>
      </c>
      <c r="C47" s="37">
        <v>90015</v>
      </c>
      <c r="D47" s="39" t="s">
        <v>113</v>
      </c>
      <c r="E47" s="40">
        <f>G47+L47+M47+N47+F47</f>
        <v>26000</v>
      </c>
      <c r="F47" s="40">
        <v>4000</v>
      </c>
      <c r="G47" s="40">
        <f>30000-8000</f>
        <v>22000</v>
      </c>
      <c r="H47" s="40">
        <f>30000-8000</f>
        <v>22000</v>
      </c>
      <c r="I47" s="40">
        <v>0</v>
      </c>
      <c r="J47" s="41" t="s">
        <v>88</v>
      </c>
      <c r="K47" s="40">
        <v>0</v>
      </c>
      <c r="L47" s="40">
        <v>0</v>
      </c>
      <c r="M47" s="40">
        <v>0</v>
      </c>
      <c r="N47" s="40">
        <v>0</v>
      </c>
      <c r="O47" s="42" t="s">
        <v>89</v>
      </c>
    </row>
    <row r="48" spans="1:15" ht="51">
      <c r="A48" s="37">
        <v>32</v>
      </c>
      <c r="B48" s="38" t="s">
        <v>86</v>
      </c>
      <c r="C48" s="37">
        <v>90095</v>
      </c>
      <c r="D48" s="39" t="s">
        <v>163</v>
      </c>
      <c r="E48" s="40">
        <f t="shared" si="0"/>
        <v>1401000</v>
      </c>
      <c r="F48" s="40">
        <v>0</v>
      </c>
      <c r="G48" s="40">
        <v>1000</v>
      </c>
      <c r="H48" s="40">
        <f>G48</f>
        <v>1000</v>
      </c>
      <c r="I48" s="40">
        <v>0</v>
      </c>
      <c r="J48" s="41" t="s">
        <v>88</v>
      </c>
      <c r="K48" s="40">
        <v>0</v>
      </c>
      <c r="L48" s="40">
        <v>1400000</v>
      </c>
      <c r="M48" s="40">
        <v>0</v>
      </c>
      <c r="N48" s="40">
        <v>0</v>
      </c>
      <c r="O48" s="42" t="s">
        <v>89</v>
      </c>
    </row>
    <row r="49" spans="1:15" ht="63.75">
      <c r="A49" s="37">
        <v>33</v>
      </c>
      <c r="B49" s="38" t="s">
        <v>86</v>
      </c>
      <c r="C49" s="37">
        <v>90095</v>
      </c>
      <c r="D49" s="39" t="s">
        <v>128</v>
      </c>
      <c r="E49" s="40">
        <f t="shared" si="0"/>
        <v>1880000</v>
      </c>
      <c r="F49" s="40">
        <v>0</v>
      </c>
      <c r="G49" s="40">
        <f>90000-10000</f>
        <v>80000</v>
      </c>
      <c r="H49" s="40">
        <f>G49</f>
        <v>80000</v>
      </c>
      <c r="I49" s="40">
        <v>0</v>
      </c>
      <c r="J49" s="41" t="s">
        <v>88</v>
      </c>
      <c r="K49" s="40">
        <v>0</v>
      </c>
      <c r="L49" s="40">
        <v>800000</v>
      </c>
      <c r="M49" s="40">
        <v>1000000</v>
      </c>
      <c r="N49" s="40">
        <v>0</v>
      </c>
      <c r="O49" s="42" t="s">
        <v>89</v>
      </c>
    </row>
    <row r="50" spans="1:15" ht="51">
      <c r="A50" s="106" t="s">
        <v>114</v>
      </c>
      <c r="B50" s="106"/>
      <c r="C50" s="106"/>
      <c r="D50" s="106"/>
      <c r="E50" s="44">
        <f>E49+E48+E47</f>
        <v>3307000</v>
      </c>
      <c r="F50" s="44">
        <f>F49+F48+F47</f>
        <v>4000</v>
      </c>
      <c r="G50" s="44">
        <f>G49+G48+G47</f>
        <v>103000</v>
      </c>
      <c r="H50" s="44">
        <f>H49+H48+H47</f>
        <v>103000</v>
      </c>
      <c r="I50" s="44">
        <f>I49+I48+I47</f>
        <v>0</v>
      </c>
      <c r="J50" s="41" t="s">
        <v>88</v>
      </c>
      <c r="K50" s="44">
        <f>K49+K48+K47</f>
        <v>0</v>
      </c>
      <c r="L50" s="44">
        <f>L49+L48+L47</f>
        <v>2200000</v>
      </c>
      <c r="M50" s="44">
        <f>M49+M48+M47</f>
        <v>1000000</v>
      </c>
      <c r="N50" s="44">
        <f>N49+N48+N47</f>
        <v>0</v>
      </c>
      <c r="O50" s="48" t="s">
        <v>99</v>
      </c>
    </row>
    <row r="51" spans="1:15" s="56" customFormat="1" ht="89.25">
      <c r="A51" s="42">
        <v>34</v>
      </c>
      <c r="B51" s="42">
        <v>921</v>
      </c>
      <c r="C51" s="42">
        <v>92120</v>
      </c>
      <c r="D51" s="42" t="s">
        <v>206</v>
      </c>
      <c r="E51" s="40">
        <f>F51+G51+L51+N51+M51</f>
        <v>5138500</v>
      </c>
      <c r="F51" s="40">
        <v>30500</v>
      </c>
      <c r="G51" s="40">
        <v>108000</v>
      </c>
      <c r="H51" s="40">
        <v>108000</v>
      </c>
      <c r="I51" s="40">
        <v>0</v>
      </c>
      <c r="J51" s="41" t="s">
        <v>88</v>
      </c>
      <c r="K51" s="40">
        <v>0</v>
      </c>
      <c r="L51" s="40">
        <v>2000000</v>
      </c>
      <c r="M51" s="40">
        <v>2000000</v>
      </c>
      <c r="N51" s="40">
        <v>1000000</v>
      </c>
      <c r="O51" s="42" t="s">
        <v>89</v>
      </c>
    </row>
    <row r="52" spans="1:15" ht="51">
      <c r="A52" s="106" t="s">
        <v>207</v>
      </c>
      <c r="B52" s="106"/>
      <c r="C52" s="106"/>
      <c r="D52" s="106"/>
      <c r="E52" s="44">
        <f>E51</f>
        <v>5138500</v>
      </c>
      <c r="F52" s="44">
        <f aca="true" t="shared" si="1" ref="F52:N52">F51</f>
        <v>30500</v>
      </c>
      <c r="G52" s="44">
        <f t="shared" si="1"/>
        <v>108000</v>
      </c>
      <c r="H52" s="44">
        <f t="shared" si="1"/>
        <v>108000</v>
      </c>
      <c r="I52" s="44">
        <f t="shared" si="1"/>
        <v>0</v>
      </c>
      <c r="J52" s="41" t="s">
        <v>88</v>
      </c>
      <c r="K52" s="44">
        <f t="shared" si="1"/>
        <v>0</v>
      </c>
      <c r="L52" s="44">
        <f t="shared" si="1"/>
        <v>2000000</v>
      </c>
      <c r="M52" s="44">
        <f t="shared" si="1"/>
        <v>2000000</v>
      </c>
      <c r="N52" s="44">
        <f t="shared" si="1"/>
        <v>1000000</v>
      </c>
      <c r="O52" s="44" t="s">
        <v>99</v>
      </c>
    </row>
    <row r="53" spans="1:15" ht="204">
      <c r="A53" s="42">
        <v>35</v>
      </c>
      <c r="B53" s="43">
        <v>926</v>
      </c>
      <c r="C53" s="43">
        <v>92601</v>
      </c>
      <c r="D53" s="43" t="s">
        <v>129</v>
      </c>
      <c r="E53" s="40">
        <f t="shared" si="0"/>
        <v>1000000</v>
      </c>
      <c r="F53" s="40">
        <v>50000</v>
      </c>
      <c r="G53" s="40">
        <v>0</v>
      </c>
      <c r="H53" s="40">
        <v>0</v>
      </c>
      <c r="I53" s="40">
        <v>0</v>
      </c>
      <c r="J53" s="41" t="s">
        <v>88</v>
      </c>
      <c r="K53" s="40">
        <v>0</v>
      </c>
      <c r="L53" s="40">
        <v>950000</v>
      </c>
      <c r="M53" s="40">
        <v>0</v>
      </c>
      <c r="N53" s="40">
        <v>0</v>
      </c>
      <c r="O53" s="42" t="s">
        <v>89</v>
      </c>
    </row>
    <row r="54" spans="1:15" ht="51">
      <c r="A54" s="42">
        <v>36</v>
      </c>
      <c r="B54" s="43">
        <v>926</v>
      </c>
      <c r="C54" s="43">
        <v>92604</v>
      </c>
      <c r="D54" s="43" t="s">
        <v>178</v>
      </c>
      <c r="E54" s="40">
        <f t="shared" si="0"/>
        <v>6140293</v>
      </c>
      <c r="F54" s="40">
        <v>0</v>
      </c>
      <c r="G54" s="40">
        <f>60293-20000</f>
        <v>40293</v>
      </c>
      <c r="H54" s="40">
        <f>G54</f>
        <v>40293</v>
      </c>
      <c r="I54" s="40">
        <v>0</v>
      </c>
      <c r="J54" s="41" t="s">
        <v>88</v>
      </c>
      <c r="K54" s="40">
        <v>0</v>
      </c>
      <c r="L54" s="40">
        <v>100000</v>
      </c>
      <c r="M54" s="40">
        <v>6000000</v>
      </c>
      <c r="N54" s="40">
        <v>0</v>
      </c>
      <c r="O54" s="42" t="s">
        <v>89</v>
      </c>
    </row>
    <row r="55" spans="1:15" ht="12.75">
      <c r="A55" s="106" t="s">
        <v>115</v>
      </c>
      <c r="B55" s="106"/>
      <c r="C55" s="106"/>
      <c r="D55" s="106"/>
      <c r="E55" s="44">
        <f>E53+E54</f>
        <v>7140293</v>
      </c>
      <c r="F55" s="44">
        <f>F53+F54</f>
        <v>50000</v>
      </c>
      <c r="G55" s="44">
        <f>G53+G54</f>
        <v>40293</v>
      </c>
      <c r="H55" s="44">
        <f>H53+H54</f>
        <v>40293</v>
      </c>
      <c r="I55" s="44">
        <f>I53+I54</f>
        <v>0</v>
      </c>
      <c r="J55" s="44" t="s">
        <v>99</v>
      </c>
      <c r="K55" s="44">
        <f>K53+K54</f>
        <v>0</v>
      </c>
      <c r="L55" s="44">
        <f>L53+L54</f>
        <v>1050000</v>
      </c>
      <c r="M55" s="44">
        <f>M53+M54</f>
        <v>6000000</v>
      </c>
      <c r="N55" s="44">
        <f>N53+N54</f>
        <v>0</v>
      </c>
      <c r="O55" s="48" t="s">
        <v>99</v>
      </c>
    </row>
    <row r="56" spans="1:15" ht="51">
      <c r="A56" s="107" t="s">
        <v>31</v>
      </c>
      <c r="B56" s="107"/>
      <c r="C56" s="107"/>
      <c r="D56" s="107"/>
      <c r="E56" s="49">
        <f>E55+E50+E46+E42+E39+E24+E52</f>
        <v>41109330</v>
      </c>
      <c r="F56" s="49">
        <f>F55+F50+F46+F42+F39+F24+F52</f>
        <v>1381537</v>
      </c>
      <c r="G56" s="49">
        <f>G55+G50+G46+G42+G39+G24+G52</f>
        <v>5242793</v>
      </c>
      <c r="H56" s="49">
        <f>H55+H50+H46+H42+H39+H24+H52</f>
        <v>4338028</v>
      </c>
      <c r="I56" s="49">
        <f>I55+I50+I46+I42+I39+I24+I52</f>
        <v>804765</v>
      </c>
      <c r="J56" s="54" t="s">
        <v>160</v>
      </c>
      <c r="K56" s="49">
        <v>0</v>
      </c>
      <c r="L56" s="49">
        <f>L55+L50+L46+L42+L39+L24+L52</f>
        <v>19685000</v>
      </c>
      <c r="M56" s="49">
        <f>M55+M50+M46+M42+M39+M24+M52</f>
        <v>13800000</v>
      </c>
      <c r="N56" s="49">
        <f>N55+N50+N46+N42+N39+N24+N52</f>
        <v>1000000</v>
      </c>
      <c r="O56" s="49" t="s">
        <v>99</v>
      </c>
    </row>
    <row r="57" spans="5:9" ht="12.75">
      <c r="E57" s="36"/>
      <c r="G57" s="36"/>
      <c r="H57" s="36"/>
      <c r="I57" s="36"/>
    </row>
    <row r="58" spans="5:15" ht="12.75"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 t="s">
        <v>220</v>
      </c>
    </row>
    <row r="59" spans="5:15" ht="12.75">
      <c r="E59" s="36"/>
      <c r="G59" s="36"/>
      <c r="I59" s="36"/>
      <c r="O59" s="1" t="s">
        <v>221</v>
      </c>
    </row>
    <row r="60" spans="5:9" ht="12.75">
      <c r="E60" s="36"/>
      <c r="G60" s="36"/>
      <c r="I60" s="36"/>
    </row>
    <row r="61" spans="7:15" ht="12.75">
      <c r="G61" s="36"/>
      <c r="O61" s="1" t="s">
        <v>222</v>
      </c>
    </row>
    <row r="62" spans="5:7" ht="12.75">
      <c r="E62" s="36"/>
      <c r="G62" s="36"/>
    </row>
    <row r="63" spans="5:7" ht="12.75">
      <c r="E63" s="36"/>
      <c r="G63" s="36"/>
    </row>
    <row r="64" ht="12.75">
      <c r="E64" s="36"/>
    </row>
    <row r="66" ht="12.75">
      <c r="E66" s="36"/>
    </row>
    <row r="67" ht="12.75">
      <c r="E67" s="36"/>
    </row>
    <row r="78" ht="12.75">
      <c r="E78" s="36"/>
    </row>
    <row r="80" ht="12.75">
      <c r="E80" s="36"/>
    </row>
  </sheetData>
  <sheetProtection/>
  <mergeCells count="27">
    <mergeCell ref="M1:O4"/>
    <mergeCell ref="F7:F11"/>
    <mergeCell ref="A5:O5"/>
    <mergeCell ref="A7:A11"/>
    <mergeCell ref="B7:B11"/>
    <mergeCell ref="C7:C11"/>
    <mergeCell ref="D7:D11"/>
    <mergeCell ref="O7:O11"/>
    <mergeCell ref="G8:G11"/>
    <mergeCell ref="E7:E11"/>
    <mergeCell ref="M8:M11"/>
    <mergeCell ref="G7:N7"/>
    <mergeCell ref="L8:L11"/>
    <mergeCell ref="H8:K8"/>
    <mergeCell ref="H9:H11"/>
    <mergeCell ref="I9:I11"/>
    <mergeCell ref="J9:J11"/>
    <mergeCell ref="K9:K11"/>
    <mergeCell ref="N8:N11"/>
    <mergeCell ref="A50:D50"/>
    <mergeCell ref="A55:D55"/>
    <mergeCell ref="A56:D56"/>
    <mergeCell ref="A24:D24"/>
    <mergeCell ref="A39:D39"/>
    <mergeCell ref="A42:D42"/>
    <mergeCell ref="A46:D46"/>
    <mergeCell ref="A52:D52"/>
  </mergeCells>
  <printOptions horizontalCentered="1"/>
  <pageMargins left="0.5" right="0.3937007874015748" top="0.61" bottom="0.34" header="0.5118110236220472" footer="0.24"/>
  <pageSetup fitToHeight="4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75" zoomScaleNormal="75" zoomScalePageLayoutView="0" workbookViewId="0" topLeftCell="A1">
      <selection activeCell="H1" sqref="H1:J5"/>
    </sheetView>
  </sheetViews>
  <sheetFormatPr defaultColWidth="9.00390625" defaultRowHeight="12.75"/>
  <cols>
    <col min="1" max="1" width="4.25390625" style="1" customWidth="1"/>
    <col min="2" max="2" width="6.25390625" style="1" customWidth="1"/>
    <col min="3" max="3" width="7.75390625" style="1" customWidth="1"/>
    <col min="4" max="4" width="18.25390625" style="79" customWidth="1"/>
    <col min="5" max="5" width="12.75390625" style="1" customWidth="1"/>
    <col min="6" max="6" width="10.875" style="1" customWidth="1"/>
    <col min="7" max="7" width="10.125" style="1" customWidth="1"/>
    <col min="8" max="8" width="26.625" style="1" customWidth="1"/>
    <col min="9" max="9" width="13.625" style="1" customWidth="1"/>
    <col min="10" max="10" width="16.75390625" style="1" customWidth="1"/>
    <col min="11" max="11" width="10.375" style="1" bestFit="1" customWidth="1"/>
    <col min="12" max="16384" width="9.125" style="1" customWidth="1"/>
  </cols>
  <sheetData>
    <row r="1" spans="8:10" ht="12.75" customHeight="1">
      <c r="H1" s="122" t="s">
        <v>224</v>
      </c>
      <c r="I1" s="122"/>
      <c r="J1" s="122"/>
    </row>
    <row r="2" spans="8:10" ht="12.75" customHeight="1">
      <c r="H2" s="122"/>
      <c r="I2" s="122"/>
      <c r="J2" s="122"/>
    </row>
    <row r="3" spans="8:10" ht="12.75">
      <c r="H3" s="122"/>
      <c r="I3" s="122"/>
      <c r="J3" s="122"/>
    </row>
    <row r="4" spans="8:10" ht="12.75">
      <c r="H4" s="122"/>
      <c r="I4" s="122"/>
      <c r="J4" s="122"/>
    </row>
    <row r="5" spans="8:10" ht="12.75">
      <c r="H5" s="122"/>
      <c r="I5" s="122"/>
      <c r="J5" s="122"/>
    </row>
    <row r="6" spans="1:10" ht="18">
      <c r="A6" s="111" t="s">
        <v>168</v>
      </c>
      <c r="B6" s="111"/>
      <c r="C6" s="111"/>
      <c r="D6" s="111"/>
      <c r="E6" s="111"/>
      <c r="F6" s="111"/>
      <c r="G6" s="111"/>
      <c r="H6" s="111"/>
      <c r="I6" s="111"/>
      <c r="J6" s="111"/>
    </row>
    <row r="7" spans="1:10" ht="10.5" customHeight="1">
      <c r="A7" s="4"/>
      <c r="B7" s="4"/>
      <c r="C7" s="4"/>
      <c r="D7" s="4"/>
      <c r="E7" s="4"/>
      <c r="F7" s="4"/>
      <c r="G7" s="4"/>
      <c r="H7" s="4"/>
      <c r="I7" s="4"/>
      <c r="J7" s="3" t="s">
        <v>12</v>
      </c>
    </row>
    <row r="8" spans="1:10" s="13" customFormat="1" ht="19.5" customHeight="1">
      <c r="A8" s="114" t="s">
        <v>15</v>
      </c>
      <c r="B8" s="114" t="s">
        <v>1</v>
      </c>
      <c r="C8" s="114" t="s">
        <v>11</v>
      </c>
      <c r="D8" s="115" t="s">
        <v>35</v>
      </c>
      <c r="E8" s="115" t="s">
        <v>19</v>
      </c>
      <c r="F8" s="115"/>
      <c r="G8" s="115"/>
      <c r="H8" s="115"/>
      <c r="I8" s="115"/>
      <c r="J8" s="115" t="s">
        <v>17</v>
      </c>
    </row>
    <row r="9" spans="1:10" s="13" customFormat="1" ht="19.5" customHeight="1">
      <c r="A9" s="114"/>
      <c r="B9" s="114"/>
      <c r="C9" s="114"/>
      <c r="D9" s="115"/>
      <c r="E9" s="115" t="s">
        <v>40</v>
      </c>
      <c r="F9" s="115" t="s">
        <v>8</v>
      </c>
      <c r="G9" s="115"/>
      <c r="H9" s="115"/>
      <c r="I9" s="115"/>
      <c r="J9" s="115"/>
    </row>
    <row r="10" spans="1:10" s="13" customFormat="1" ht="29.25" customHeight="1">
      <c r="A10" s="114"/>
      <c r="B10" s="114"/>
      <c r="C10" s="114"/>
      <c r="D10" s="115"/>
      <c r="E10" s="115"/>
      <c r="F10" s="115" t="s">
        <v>32</v>
      </c>
      <c r="G10" s="115" t="s">
        <v>28</v>
      </c>
      <c r="H10" s="115" t="s">
        <v>34</v>
      </c>
      <c r="I10" s="115" t="s">
        <v>29</v>
      </c>
      <c r="J10" s="115"/>
    </row>
    <row r="11" spans="1:10" s="13" customFormat="1" ht="19.5" customHeight="1">
      <c r="A11" s="114"/>
      <c r="B11" s="114"/>
      <c r="C11" s="114"/>
      <c r="D11" s="115"/>
      <c r="E11" s="115"/>
      <c r="F11" s="115"/>
      <c r="G11" s="115"/>
      <c r="H11" s="115"/>
      <c r="I11" s="115"/>
      <c r="J11" s="115"/>
    </row>
    <row r="12" spans="1:10" s="13" customFormat="1" ht="19.5" customHeight="1">
      <c r="A12" s="114"/>
      <c r="B12" s="114"/>
      <c r="C12" s="114"/>
      <c r="D12" s="115"/>
      <c r="E12" s="115"/>
      <c r="F12" s="115"/>
      <c r="G12" s="115"/>
      <c r="H12" s="115"/>
      <c r="I12" s="115"/>
      <c r="J12" s="115"/>
    </row>
    <row r="13" spans="1:10" ht="7.5" customHeight="1">
      <c r="A13" s="6">
        <v>1</v>
      </c>
      <c r="B13" s="6">
        <v>2</v>
      </c>
      <c r="C13" s="6">
        <v>3</v>
      </c>
      <c r="D13" s="80">
        <v>4</v>
      </c>
      <c r="E13" s="6">
        <v>6</v>
      </c>
      <c r="F13" s="6">
        <v>7</v>
      </c>
      <c r="G13" s="6">
        <v>8</v>
      </c>
      <c r="H13" s="6">
        <v>9</v>
      </c>
      <c r="I13" s="6">
        <v>10</v>
      </c>
      <c r="J13" s="6">
        <v>11</v>
      </c>
    </row>
    <row r="14" spans="1:10" s="13" customFormat="1" ht="50.25" customHeight="1">
      <c r="A14" s="37">
        <v>1</v>
      </c>
      <c r="B14" s="38" t="s">
        <v>81</v>
      </c>
      <c r="C14" s="38" t="s">
        <v>82</v>
      </c>
      <c r="D14" s="42" t="s">
        <v>187</v>
      </c>
      <c r="E14" s="40">
        <f>F14+G14</f>
        <v>20000</v>
      </c>
      <c r="F14" s="40">
        <f>9000+11000</f>
        <v>20000</v>
      </c>
      <c r="G14" s="37">
        <v>0</v>
      </c>
      <c r="H14" s="41" t="s">
        <v>18</v>
      </c>
      <c r="I14" s="37">
        <v>0</v>
      </c>
      <c r="J14" s="42" t="s">
        <v>89</v>
      </c>
    </row>
    <row r="15" spans="1:10" s="81" customFormat="1" ht="51.75" customHeight="1">
      <c r="A15" s="116" t="s">
        <v>98</v>
      </c>
      <c r="B15" s="117"/>
      <c r="C15" s="117"/>
      <c r="D15" s="118"/>
      <c r="E15" s="44">
        <f>E14</f>
        <v>20000</v>
      </c>
      <c r="F15" s="44">
        <f>F14</f>
        <v>20000</v>
      </c>
      <c r="G15" s="48">
        <f>G14</f>
        <v>0</v>
      </c>
      <c r="H15" s="54" t="s">
        <v>18</v>
      </c>
      <c r="I15" s="48">
        <f>I14</f>
        <v>0</v>
      </c>
      <c r="J15" s="48" t="s">
        <v>99</v>
      </c>
    </row>
    <row r="16" spans="1:10" s="13" customFormat="1" ht="51.75" customHeight="1">
      <c r="A16" s="38" t="s">
        <v>196</v>
      </c>
      <c r="B16" s="38" t="s">
        <v>83</v>
      </c>
      <c r="C16" s="38" t="s">
        <v>85</v>
      </c>
      <c r="D16" s="82" t="s">
        <v>195</v>
      </c>
      <c r="E16" s="40">
        <v>80000</v>
      </c>
      <c r="F16" s="40">
        <v>80000</v>
      </c>
      <c r="G16" s="37">
        <v>0</v>
      </c>
      <c r="H16" s="41" t="s">
        <v>18</v>
      </c>
      <c r="I16" s="37">
        <v>0</v>
      </c>
      <c r="J16" s="42" t="s">
        <v>89</v>
      </c>
    </row>
    <row r="17" spans="1:10" ht="54" customHeight="1">
      <c r="A17" s="37">
        <v>4</v>
      </c>
      <c r="B17" s="37">
        <v>600</v>
      </c>
      <c r="C17" s="37">
        <v>60016</v>
      </c>
      <c r="D17" s="51" t="s">
        <v>116</v>
      </c>
      <c r="E17" s="40">
        <f aca="true" t="shared" si="0" ref="E17:E51">F17+G17</f>
        <v>115000</v>
      </c>
      <c r="F17" s="47">
        <f>100000+60000-45000</f>
        <v>115000</v>
      </c>
      <c r="G17" s="40">
        <v>0</v>
      </c>
      <c r="H17" s="41" t="s">
        <v>18</v>
      </c>
      <c r="I17" s="37">
        <v>0</v>
      </c>
      <c r="J17" s="42" t="s">
        <v>89</v>
      </c>
    </row>
    <row r="18" spans="1:10" ht="60" customHeight="1">
      <c r="A18" s="37">
        <v>5</v>
      </c>
      <c r="B18" s="37">
        <v>600</v>
      </c>
      <c r="C18" s="37">
        <v>60016</v>
      </c>
      <c r="D18" s="51" t="s">
        <v>117</v>
      </c>
      <c r="E18" s="40">
        <f t="shared" si="0"/>
        <v>160000</v>
      </c>
      <c r="F18" s="47">
        <f>36000-20000</f>
        <v>16000</v>
      </c>
      <c r="G18" s="40">
        <v>144000</v>
      </c>
      <c r="H18" s="41" t="s">
        <v>18</v>
      </c>
      <c r="I18" s="37">
        <v>0</v>
      </c>
      <c r="J18" s="42" t="s">
        <v>89</v>
      </c>
    </row>
    <row r="19" spans="1:10" ht="57.75" customHeight="1">
      <c r="A19" s="37">
        <v>6</v>
      </c>
      <c r="B19" s="37">
        <v>600</v>
      </c>
      <c r="C19" s="37">
        <v>60016</v>
      </c>
      <c r="D19" s="51" t="s">
        <v>118</v>
      </c>
      <c r="E19" s="40">
        <f>F19+G19+30000</f>
        <v>178400</v>
      </c>
      <c r="F19" s="47">
        <f>44000-16600</f>
        <v>27400</v>
      </c>
      <c r="G19" s="40">
        <f>176000-55000</f>
        <v>121000</v>
      </c>
      <c r="H19" s="41" t="s">
        <v>212</v>
      </c>
      <c r="I19" s="37">
        <v>0</v>
      </c>
      <c r="J19" s="42" t="s">
        <v>89</v>
      </c>
    </row>
    <row r="20" spans="1:10" ht="57.75" customHeight="1">
      <c r="A20" s="37">
        <v>7</v>
      </c>
      <c r="B20" s="37">
        <v>600</v>
      </c>
      <c r="C20" s="37">
        <v>60016</v>
      </c>
      <c r="D20" s="51" t="s">
        <v>119</v>
      </c>
      <c r="E20" s="40">
        <f t="shared" si="0"/>
        <v>180000</v>
      </c>
      <c r="F20" s="47">
        <f>36000+125000</f>
        <v>161000</v>
      </c>
      <c r="G20" s="40">
        <f>144000-125000</f>
        <v>19000</v>
      </c>
      <c r="H20" s="41" t="s">
        <v>18</v>
      </c>
      <c r="I20" s="37">
        <v>0</v>
      </c>
      <c r="J20" s="42" t="s">
        <v>89</v>
      </c>
    </row>
    <row r="21" spans="1:10" ht="56.25" customHeight="1">
      <c r="A21" s="37">
        <v>8</v>
      </c>
      <c r="B21" s="37">
        <v>600</v>
      </c>
      <c r="C21" s="37">
        <v>60016</v>
      </c>
      <c r="D21" s="51" t="s">
        <v>120</v>
      </c>
      <c r="E21" s="40">
        <f t="shared" si="0"/>
        <v>5000</v>
      </c>
      <c r="F21" s="47">
        <f>10000-5000</f>
        <v>5000</v>
      </c>
      <c r="G21" s="40">
        <v>0</v>
      </c>
      <c r="H21" s="41" t="s">
        <v>18</v>
      </c>
      <c r="I21" s="37">
        <v>0</v>
      </c>
      <c r="J21" s="42" t="s">
        <v>89</v>
      </c>
    </row>
    <row r="22" spans="1:10" ht="54.75" customHeight="1">
      <c r="A22" s="37">
        <v>9</v>
      </c>
      <c r="B22" s="37">
        <v>600</v>
      </c>
      <c r="C22" s="37">
        <v>60016</v>
      </c>
      <c r="D22" s="51" t="s">
        <v>121</v>
      </c>
      <c r="E22" s="40">
        <f t="shared" si="0"/>
        <v>110100</v>
      </c>
      <c r="F22" s="47">
        <f>85000+8500+16600</f>
        <v>110100</v>
      </c>
      <c r="G22" s="40">
        <v>0</v>
      </c>
      <c r="H22" s="41" t="s">
        <v>18</v>
      </c>
      <c r="I22" s="37">
        <v>0</v>
      </c>
      <c r="J22" s="42" t="s">
        <v>89</v>
      </c>
    </row>
    <row r="23" spans="1:10" ht="35.25" customHeight="1">
      <c r="A23" s="37">
        <v>10</v>
      </c>
      <c r="B23" s="37">
        <v>600</v>
      </c>
      <c r="C23" s="37">
        <v>60016</v>
      </c>
      <c r="D23" s="51" t="s">
        <v>172</v>
      </c>
      <c r="E23" s="40">
        <f t="shared" si="0"/>
        <v>735000</v>
      </c>
      <c r="F23" s="47">
        <f>650000+85000</f>
        <v>735000</v>
      </c>
      <c r="G23" s="40">
        <v>0</v>
      </c>
      <c r="H23" s="41" t="s">
        <v>18</v>
      </c>
      <c r="I23" s="37">
        <v>0</v>
      </c>
      <c r="J23" s="42" t="s">
        <v>89</v>
      </c>
    </row>
    <row r="24" spans="1:10" ht="83.25" customHeight="1">
      <c r="A24" s="37">
        <v>11</v>
      </c>
      <c r="B24" s="37">
        <v>600</v>
      </c>
      <c r="C24" s="37">
        <v>60016</v>
      </c>
      <c r="D24" s="51" t="s">
        <v>174</v>
      </c>
      <c r="E24" s="40">
        <f t="shared" si="0"/>
        <v>9000</v>
      </c>
      <c r="F24" s="47">
        <f>5000+4000</f>
        <v>9000</v>
      </c>
      <c r="G24" s="40">
        <v>0</v>
      </c>
      <c r="H24" s="41" t="s">
        <v>18</v>
      </c>
      <c r="I24" s="37">
        <v>0</v>
      </c>
      <c r="J24" s="42" t="s">
        <v>89</v>
      </c>
    </row>
    <row r="25" spans="1:10" ht="60" customHeight="1">
      <c r="A25" s="37">
        <v>12</v>
      </c>
      <c r="B25" s="37">
        <v>600</v>
      </c>
      <c r="C25" s="37">
        <v>60016</v>
      </c>
      <c r="D25" s="51" t="s">
        <v>175</v>
      </c>
      <c r="E25" s="40">
        <f t="shared" si="0"/>
        <v>5000</v>
      </c>
      <c r="F25" s="47">
        <v>5000</v>
      </c>
      <c r="G25" s="40">
        <v>0</v>
      </c>
      <c r="H25" s="41" t="s">
        <v>18</v>
      </c>
      <c r="I25" s="37">
        <v>0</v>
      </c>
      <c r="J25" s="42" t="s">
        <v>89</v>
      </c>
    </row>
    <row r="26" spans="1:10" ht="62.25" customHeight="1">
      <c r="A26" s="37">
        <v>13</v>
      </c>
      <c r="B26" s="37">
        <v>600</v>
      </c>
      <c r="C26" s="37">
        <v>60016</v>
      </c>
      <c r="D26" s="51" t="s">
        <v>188</v>
      </c>
      <c r="E26" s="40">
        <f t="shared" si="0"/>
        <v>150000</v>
      </c>
      <c r="F26" s="47">
        <v>150000</v>
      </c>
      <c r="G26" s="40">
        <v>0</v>
      </c>
      <c r="H26" s="41" t="s">
        <v>18</v>
      </c>
      <c r="I26" s="37">
        <v>0</v>
      </c>
      <c r="J26" s="42" t="s">
        <v>89</v>
      </c>
    </row>
    <row r="27" spans="1:10" ht="57" customHeight="1">
      <c r="A27" s="37">
        <v>14</v>
      </c>
      <c r="B27" s="37">
        <v>600</v>
      </c>
      <c r="C27" s="37">
        <v>60016</v>
      </c>
      <c r="D27" s="51" t="s">
        <v>190</v>
      </c>
      <c r="E27" s="40">
        <f t="shared" si="0"/>
        <v>45000</v>
      </c>
      <c r="F27" s="47">
        <v>45000</v>
      </c>
      <c r="G27" s="40">
        <v>0</v>
      </c>
      <c r="H27" s="41" t="s">
        <v>18</v>
      </c>
      <c r="I27" s="37">
        <v>0</v>
      </c>
      <c r="J27" s="42" t="s">
        <v>89</v>
      </c>
    </row>
    <row r="28" spans="1:10" ht="57" customHeight="1">
      <c r="A28" s="37">
        <v>15</v>
      </c>
      <c r="B28" s="37">
        <v>600</v>
      </c>
      <c r="C28" s="37">
        <v>60016</v>
      </c>
      <c r="D28" s="51" t="s">
        <v>193</v>
      </c>
      <c r="E28" s="40">
        <v>180000</v>
      </c>
      <c r="F28" s="47">
        <v>180000</v>
      </c>
      <c r="G28" s="40">
        <v>0</v>
      </c>
      <c r="H28" s="41" t="s">
        <v>18</v>
      </c>
      <c r="I28" s="37">
        <v>0</v>
      </c>
      <c r="J28" s="42" t="s">
        <v>89</v>
      </c>
    </row>
    <row r="29" spans="1:11" s="55" customFormat="1" ht="57.75" customHeight="1">
      <c r="A29" s="113" t="s">
        <v>107</v>
      </c>
      <c r="B29" s="113"/>
      <c r="C29" s="113"/>
      <c r="D29" s="113"/>
      <c r="E29" s="57">
        <f>E22+E21+E20+E19+E18+E17+E23+E24+E25+E26+E27+E28+E16</f>
        <v>1952500</v>
      </c>
      <c r="F29" s="57">
        <f>F22+F21+F20+F19+F18+F17+F23+F24+F25+F26+F27+F28+F16</f>
        <v>1638500</v>
      </c>
      <c r="G29" s="57">
        <f>G22+G21+G20+G19+G18+G17+G23+G24+G25+G26+G27+G28+G16</f>
        <v>284000</v>
      </c>
      <c r="H29" s="54" t="s">
        <v>212</v>
      </c>
      <c r="I29" s="48">
        <v>0</v>
      </c>
      <c r="J29" s="45" t="s">
        <v>99</v>
      </c>
      <c r="K29" s="91"/>
    </row>
    <row r="30" spans="1:10" s="56" customFormat="1" ht="57.75" customHeight="1">
      <c r="A30" s="37">
        <v>16</v>
      </c>
      <c r="B30" s="37">
        <v>700</v>
      </c>
      <c r="C30" s="37">
        <v>70005</v>
      </c>
      <c r="D30" s="42" t="s">
        <v>156</v>
      </c>
      <c r="E30" s="40">
        <f t="shared" si="0"/>
        <v>100000</v>
      </c>
      <c r="F30" s="47">
        <v>100000</v>
      </c>
      <c r="G30" s="47">
        <v>0</v>
      </c>
      <c r="H30" s="41" t="s">
        <v>18</v>
      </c>
      <c r="I30" s="37">
        <v>0</v>
      </c>
      <c r="J30" s="42" t="s">
        <v>89</v>
      </c>
    </row>
    <row r="31" spans="1:10" s="55" customFormat="1" ht="57.75" customHeight="1">
      <c r="A31" s="113" t="s">
        <v>110</v>
      </c>
      <c r="B31" s="113"/>
      <c r="C31" s="113"/>
      <c r="D31" s="113"/>
      <c r="E31" s="57">
        <f>E30</f>
        <v>100000</v>
      </c>
      <c r="F31" s="57">
        <f>F30</f>
        <v>100000</v>
      </c>
      <c r="G31" s="57">
        <v>0</v>
      </c>
      <c r="H31" s="54" t="s">
        <v>18</v>
      </c>
      <c r="I31" s="48">
        <v>0</v>
      </c>
      <c r="J31" s="45" t="s">
        <v>99</v>
      </c>
    </row>
    <row r="32" spans="1:10" s="56" customFormat="1" ht="57.75" customHeight="1">
      <c r="A32" s="37">
        <v>17</v>
      </c>
      <c r="B32" s="37">
        <v>750</v>
      </c>
      <c r="C32" s="37">
        <v>75023</v>
      </c>
      <c r="D32" s="51" t="s">
        <v>130</v>
      </c>
      <c r="E32" s="40">
        <f t="shared" si="0"/>
        <v>100000</v>
      </c>
      <c r="F32" s="47">
        <v>100000</v>
      </c>
      <c r="G32" s="47">
        <v>0</v>
      </c>
      <c r="H32" s="41" t="s">
        <v>18</v>
      </c>
      <c r="I32" s="37">
        <v>0</v>
      </c>
      <c r="J32" s="42" t="s">
        <v>89</v>
      </c>
    </row>
    <row r="33" spans="1:10" s="56" customFormat="1" ht="57.75" customHeight="1">
      <c r="A33" s="37"/>
      <c r="B33" s="37">
        <v>750</v>
      </c>
      <c r="C33" s="37">
        <v>75023</v>
      </c>
      <c r="D33" s="51" t="s">
        <v>211</v>
      </c>
      <c r="E33" s="40">
        <v>25000</v>
      </c>
      <c r="F33" s="47">
        <v>25000</v>
      </c>
      <c r="G33" s="47">
        <v>0</v>
      </c>
      <c r="H33" s="41" t="s">
        <v>18</v>
      </c>
      <c r="I33" s="37"/>
      <c r="J33" s="42"/>
    </row>
    <row r="34" spans="1:10" s="55" customFormat="1" ht="57.75" customHeight="1">
      <c r="A34" s="113" t="s">
        <v>131</v>
      </c>
      <c r="B34" s="113"/>
      <c r="C34" s="113"/>
      <c r="D34" s="113"/>
      <c r="E34" s="57">
        <f>E32+E33</f>
        <v>125000</v>
      </c>
      <c r="F34" s="57">
        <f>F32+F33</f>
        <v>125000</v>
      </c>
      <c r="G34" s="57">
        <v>0</v>
      </c>
      <c r="H34" s="41" t="s">
        <v>18</v>
      </c>
      <c r="I34" s="48">
        <v>0</v>
      </c>
      <c r="J34" s="45" t="s">
        <v>99</v>
      </c>
    </row>
    <row r="35" spans="1:10" s="56" customFormat="1" ht="81.75" customHeight="1">
      <c r="A35" s="37">
        <v>18</v>
      </c>
      <c r="B35" s="37">
        <v>754</v>
      </c>
      <c r="C35" s="37">
        <v>75412</v>
      </c>
      <c r="D35" s="42" t="s">
        <v>197</v>
      </c>
      <c r="E35" s="47">
        <v>55000</v>
      </c>
      <c r="F35" s="47">
        <v>55000</v>
      </c>
      <c r="G35" s="47">
        <v>0</v>
      </c>
      <c r="H35" s="41" t="s">
        <v>18</v>
      </c>
      <c r="I35" s="37">
        <v>0</v>
      </c>
      <c r="J35" s="42" t="s">
        <v>89</v>
      </c>
    </row>
    <row r="36" spans="1:10" s="55" customFormat="1" ht="57.75" customHeight="1">
      <c r="A36" s="119" t="s">
        <v>198</v>
      </c>
      <c r="B36" s="120"/>
      <c r="C36" s="120"/>
      <c r="D36" s="121"/>
      <c r="E36" s="57">
        <v>55000</v>
      </c>
      <c r="F36" s="57">
        <v>55000</v>
      </c>
      <c r="G36" s="57">
        <v>0</v>
      </c>
      <c r="H36" s="54" t="s">
        <v>18</v>
      </c>
      <c r="I36" s="48">
        <v>0</v>
      </c>
      <c r="J36" s="45">
        <v>0</v>
      </c>
    </row>
    <row r="37" spans="1:10" s="55" customFormat="1" ht="66" customHeight="1">
      <c r="A37" s="37">
        <v>18</v>
      </c>
      <c r="B37" s="37">
        <v>801</v>
      </c>
      <c r="C37" s="37">
        <v>80110</v>
      </c>
      <c r="D37" s="78" t="s">
        <v>185</v>
      </c>
      <c r="E37" s="40">
        <f t="shared" si="0"/>
        <v>250000</v>
      </c>
      <c r="F37" s="47">
        <v>200000</v>
      </c>
      <c r="G37" s="47">
        <v>50000</v>
      </c>
      <c r="H37" s="41" t="s">
        <v>18</v>
      </c>
      <c r="I37" s="37">
        <v>0</v>
      </c>
      <c r="J37" s="42" t="s">
        <v>89</v>
      </c>
    </row>
    <row r="38" spans="1:10" s="55" customFormat="1" ht="54.75" customHeight="1">
      <c r="A38" s="119" t="s">
        <v>112</v>
      </c>
      <c r="B38" s="120"/>
      <c r="C38" s="120"/>
      <c r="D38" s="121"/>
      <c r="E38" s="57">
        <f>E37</f>
        <v>250000</v>
      </c>
      <c r="F38" s="57">
        <f>F37</f>
        <v>200000</v>
      </c>
      <c r="G38" s="57">
        <f>G37</f>
        <v>50000</v>
      </c>
      <c r="H38" s="54" t="s">
        <v>18</v>
      </c>
      <c r="I38" s="48">
        <v>0</v>
      </c>
      <c r="J38" s="45" t="s">
        <v>99</v>
      </c>
    </row>
    <row r="39" spans="1:10" ht="89.25">
      <c r="A39" s="37">
        <v>19</v>
      </c>
      <c r="B39" s="50">
        <v>851</v>
      </c>
      <c r="C39" s="50">
        <v>85121</v>
      </c>
      <c r="D39" s="52" t="s">
        <v>122</v>
      </c>
      <c r="E39" s="40">
        <f t="shared" si="0"/>
        <v>0</v>
      </c>
      <c r="F39" s="40">
        <f>50000-50000</f>
        <v>0</v>
      </c>
      <c r="G39" s="40">
        <v>0</v>
      </c>
      <c r="H39" s="41" t="s">
        <v>18</v>
      </c>
      <c r="I39" s="37">
        <v>0</v>
      </c>
      <c r="J39" s="42" t="s">
        <v>89</v>
      </c>
    </row>
    <row r="40" spans="1:10" ht="51">
      <c r="A40" s="37">
        <v>20</v>
      </c>
      <c r="B40" s="50">
        <v>851</v>
      </c>
      <c r="C40" s="50">
        <v>85121</v>
      </c>
      <c r="D40" s="52" t="s">
        <v>173</v>
      </c>
      <c r="E40" s="40">
        <f t="shared" si="0"/>
        <v>4000</v>
      </c>
      <c r="F40" s="40">
        <f>5000-1000</f>
        <v>4000</v>
      </c>
      <c r="G40" s="40">
        <v>0</v>
      </c>
      <c r="H40" s="41" t="s">
        <v>18</v>
      </c>
      <c r="I40" s="37">
        <v>0</v>
      </c>
      <c r="J40" s="42" t="s">
        <v>89</v>
      </c>
    </row>
    <row r="41" spans="1:10" s="55" customFormat="1" ht="54" customHeight="1">
      <c r="A41" s="113" t="s">
        <v>132</v>
      </c>
      <c r="B41" s="113"/>
      <c r="C41" s="113"/>
      <c r="D41" s="113"/>
      <c r="E41" s="44">
        <f>E39+E40</f>
        <v>4000</v>
      </c>
      <c r="F41" s="44">
        <f>F39+F40</f>
        <v>4000</v>
      </c>
      <c r="G41" s="44">
        <f>G39+G40</f>
        <v>0</v>
      </c>
      <c r="H41" s="54" t="s">
        <v>18</v>
      </c>
      <c r="I41" s="48">
        <v>0</v>
      </c>
      <c r="J41" s="45" t="s">
        <v>99</v>
      </c>
    </row>
    <row r="42" spans="1:10" ht="54.75" customHeight="1">
      <c r="A42" s="37">
        <v>21</v>
      </c>
      <c r="B42" s="37">
        <v>900</v>
      </c>
      <c r="C42" s="37">
        <v>90015</v>
      </c>
      <c r="D42" s="51" t="s">
        <v>123</v>
      </c>
      <c r="E42" s="40">
        <f t="shared" si="0"/>
        <v>52500</v>
      </c>
      <c r="F42" s="40">
        <f>55000-2500</f>
        <v>52500</v>
      </c>
      <c r="G42" s="40">
        <v>0</v>
      </c>
      <c r="H42" s="41" t="s">
        <v>18</v>
      </c>
      <c r="I42" s="37">
        <v>0</v>
      </c>
      <c r="J42" s="42" t="s">
        <v>89</v>
      </c>
    </row>
    <row r="43" spans="1:10" ht="51">
      <c r="A43" s="37">
        <v>22</v>
      </c>
      <c r="B43" s="37">
        <v>900</v>
      </c>
      <c r="C43" s="37">
        <v>90015</v>
      </c>
      <c r="D43" s="53" t="s">
        <v>124</v>
      </c>
      <c r="E43" s="40">
        <f t="shared" si="0"/>
        <v>9000</v>
      </c>
      <c r="F43" s="40">
        <v>9000</v>
      </c>
      <c r="G43" s="40">
        <v>0</v>
      </c>
      <c r="H43" s="41" t="s">
        <v>18</v>
      </c>
      <c r="I43" s="37">
        <v>0</v>
      </c>
      <c r="J43" s="42" t="s">
        <v>89</v>
      </c>
    </row>
    <row r="44" spans="1:10" ht="51">
      <c r="A44" s="37">
        <v>23</v>
      </c>
      <c r="B44" s="37">
        <v>900</v>
      </c>
      <c r="C44" s="37">
        <v>90015</v>
      </c>
      <c r="D44" s="53" t="s">
        <v>217</v>
      </c>
      <c r="E44" s="40">
        <f t="shared" si="0"/>
        <v>39000</v>
      </c>
      <c r="F44" s="40">
        <f>80000-41000</f>
        <v>39000</v>
      </c>
      <c r="G44" s="40">
        <v>0</v>
      </c>
      <c r="H44" s="41" t="s">
        <v>18</v>
      </c>
      <c r="I44" s="37">
        <v>0</v>
      </c>
      <c r="J44" s="42" t="s">
        <v>89</v>
      </c>
    </row>
    <row r="45" spans="1:10" ht="51">
      <c r="A45" s="37">
        <v>24</v>
      </c>
      <c r="B45" s="37">
        <v>900</v>
      </c>
      <c r="C45" s="37">
        <v>90015</v>
      </c>
      <c r="D45" s="53" t="s">
        <v>176</v>
      </c>
      <c r="E45" s="40">
        <f t="shared" si="0"/>
        <v>6100</v>
      </c>
      <c r="F45" s="40">
        <f>5000+1100</f>
        <v>6100</v>
      </c>
      <c r="G45" s="40">
        <v>0</v>
      </c>
      <c r="H45" s="41" t="s">
        <v>18</v>
      </c>
      <c r="I45" s="37">
        <v>0</v>
      </c>
      <c r="J45" s="42" t="s">
        <v>89</v>
      </c>
    </row>
    <row r="46" spans="1:10" ht="76.5">
      <c r="A46" s="37">
        <v>25</v>
      </c>
      <c r="B46" s="37">
        <v>900</v>
      </c>
      <c r="C46" s="37">
        <v>90015</v>
      </c>
      <c r="D46" s="51" t="s">
        <v>186</v>
      </c>
      <c r="E46" s="40">
        <f t="shared" si="0"/>
        <v>27000</v>
      </c>
      <c r="F46" s="40">
        <v>27000</v>
      </c>
      <c r="G46" s="40">
        <v>0</v>
      </c>
      <c r="H46" s="41" t="s">
        <v>18</v>
      </c>
      <c r="I46" s="37">
        <v>0</v>
      </c>
      <c r="J46" s="42" t="s">
        <v>89</v>
      </c>
    </row>
    <row r="47" spans="1:10" ht="51">
      <c r="A47" s="37">
        <v>26</v>
      </c>
      <c r="B47" s="37">
        <v>900</v>
      </c>
      <c r="C47" s="37">
        <v>90015</v>
      </c>
      <c r="D47" s="53" t="s">
        <v>189</v>
      </c>
      <c r="E47" s="40">
        <f t="shared" si="0"/>
        <v>16000</v>
      </c>
      <c r="F47" s="40">
        <f>15000+1000</f>
        <v>16000</v>
      </c>
      <c r="G47" s="40">
        <v>0</v>
      </c>
      <c r="H47" s="41" t="s">
        <v>18</v>
      </c>
      <c r="I47" s="37">
        <v>0</v>
      </c>
      <c r="J47" s="42" t="s">
        <v>89</v>
      </c>
    </row>
    <row r="48" spans="1:10" ht="51">
      <c r="A48" s="37">
        <v>27</v>
      </c>
      <c r="B48" s="37">
        <v>900</v>
      </c>
      <c r="C48" s="37">
        <v>90095</v>
      </c>
      <c r="D48" s="51" t="s">
        <v>125</v>
      </c>
      <c r="E48" s="40">
        <f t="shared" si="0"/>
        <v>50000</v>
      </c>
      <c r="F48" s="40">
        <v>50000</v>
      </c>
      <c r="G48" s="40">
        <v>0</v>
      </c>
      <c r="H48" s="41" t="s">
        <v>18</v>
      </c>
      <c r="I48" s="37">
        <v>0</v>
      </c>
      <c r="J48" s="42" t="s">
        <v>89</v>
      </c>
    </row>
    <row r="49" spans="1:10" ht="51">
      <c r="A49" s="37">
        <v>28</v>
      </c>
      <c r="B49" s="37">
        <v>900</v>
      </c>
      <c r="C49" s="37">
        <v>90095</v>
      </c>
      <c r="D49" s="51" t="s">
        <v>165</v>
      </c>
      <c r="E49" s="40">
        <f>320000-20000-300000</f>
        <v>0</v>
      </c>
      <c r="F49" s="40">
        <f>300000-280000-20000</f>
        <v>0</v>
      </c>
      <c r="G49" s="40">
        <v>0</v>
      </c>
      <c r="H49" s="41" t="s">
        <v>210</v>
      </c>
      <c r="I49" s="37">
        <v>0</v>
      </c>
      <c r="J49" s="42" t="s">
        <v>89</v>
      </c>
    </row>
    <row r="50" spans="1:10" s="55" customFormat="1" ht="54.75" customHeight="1">
      <c r="A50" s="113" t="s">
        <v>114</v>
      </c>
      <c r="B50" s="113"/>
      <c r="C50" s="113"/>
      <c r="D50" s="113"/>
      <c r="E50" s="44">
        <f>E49+E48+E43+E42+E45+E44+E46+E47</f>
        <v>199600</v>
      </c>
      <c r="F50" s="44">
        <f>F49+F48+F43+F42+F45+F44+F46+F47</f>
        <v>199600</v>
      </c>
      <c r="G50" s="44">
        <f>G49+G48+G43+G42+G45+G44+G46+G47</f>
        <v>0</v>
      </c>
      <c r="H50" s="54" t="s">
        <v>210</v>
      </c>
      <c r="I50" s="48">
        <v>0</v>
      </c>
      <c r="J50" s="45" t="s">
        <v>99</v>
      </c>
    </row>
    <row r="51" spans="1:10" s="56" customFormat="1" ht="72" customHeight="1">
      <c r="A51" s="37">
        <v>29</v>
      </c>
      <c r="B51" s="37">
        <v>921</v>
      </c>
      <c r="C51" s="37">
        <v>92109</v>
      </c>
      <c r="D51" s="43" t="s">
        <v>208</v>
      </c>
      <c r="E51" s="40">
        <f t="shared" si="0"/>
        <v>50000</v>
      </c>
      <c r="F51" s="40">
        <v>50000</v>
      </c>
      <c r="G51" s="40">
        <v>0</v>
      </c>
      <c r="H51" s="41" t="s">
        <v>18</v>
      </c>
      <c r="I51" s="37">
        <v>0</v>
      </c>
      <c r="J51" s="42" t="s">
        <v>89</v>
      </c>
    </row>
    <row r="52" spans="1:10" s="55" customFormat="1" ht="54.75" customHeight="1">
      <c r="A52" s="113" t="s">
        <v>177</v>
      </c>
      <c r="B52" s="113"/>
      <c r="C52" s="113"/>
      <c r="D52" s="113"/>
      <c r="E52" s="44">
        <f>E51</f>
        <v>50000</v>
      </c>
      <c r="F52" s="44">
        <f>F51</f>
        <v>50000</v>
      </c>
      <c r="G52" s="44">
        <f>G51</f>
        <v>0</v>
      </c>
      <c r="H52" s="41" t="s">
        <v>18</v>
      </c>
      <c r="I52" s="48">
        <v>0</v>
      </c>
      <c r="J52" s="45" t="s">
        <v>99</v>
      </c>
    </row>
    <row r="53" spans="1:10" s="55" customFormat="1" ht="66.75" customHeight="1">
      <c r="A53" s="113" t="s">
        <v>31</v>
      </c>
      <c r="B53" s="113"/>
      <c r="C53" s="113"/>
      <c r="D53" s="113"/>
      <c r="E53" s="44">
        <f>E50+E41+E34+E31+E29+E52+E15+E38+E36</f>
        <v>2756100</v>
      </c>
      <c r="F53" s="44">
        <f>F50+F41+F34+F31+F29+F52+F15+F38+F36</f>
        <v>2392100</v>
      </c>
      <c r="G53" s="44">
        <f>G50+G41+G34+G31+G29+G52+G15+G38+G36</f>
        <v>334000</v>
      </c>
      <c r="H53" s="54" t="s">
        <v>212</v>
      </c>
      <c r="I53" s="48">
        <v>0</v>
      </c>
      <c r="J53" s="48" t="s">
        <v>99</v>
      </c>
    </row>
    <row r="55" spans="5:10" ht="12.75">
      <c r="E55" s="36"/>
      <c r="F55" s="36"/>
      <c r="J55" s="1" t="s">
        <v>220</v>
      </c>
    </row>
    <row r="56" spans="5:10" ht="12.75">
      <c r="E56" s="36"/>
      <c r="G56" s="36"/>
      <c r="J56" s="1" t="s">
        <v>221</v>
      </c>
    </row>
    <row r="57" ht="12.75">
      <c r="E57" s="36"/>
    </row>
    <row r="58" ht="12.75">
      <c r="J58" s="1" t="s">
        <v>222</v>
      </c>
    </row>
    <row r="59" ht="12.75">
      <c r="F59" s="36"/>
    </row>
    <row r="60" spans="5:7" ht="12.75">
      <c r="E60" s="36"/>
      <c r="F60" s="36"/>
      <c r="G60" s="36"/>
    </row>
    <row r="61" ht="12.75">
      <c r="E61" s="36"/>
    </row>
    <row r="62" ht="12.75">
      <c r="G62" s="36"/>
    </row>
    <row r="65" ht="12.75">
      <c r="E65" s="83"/>
    </row>
  </sheetData>
  <sheetProtection/>
  <mergeCells count="24">
    <mergeCell ref="A15:D15"/>
    <mergeCell ref="A38:D38"/>
    <mergeCell ref="H1:J5"/>
    <mergeCell ref="F10:F12"/>
    <mergeCell ref="G10:G12"/>
    <mergeCell ref="H10:H12"/>
    <mergeCell ref="I10:I12"/>
    <mergeCell ref="A36:D36"/>
    <mergeCell ref="A53:D53"/>
    <mergeCell ref="A6:J6"/>
    <mergeCell ref="A8:A12"/>
    <mergeCell ref="B8:B12"/>
    <mergeCell ref="C8:C12"/>
    <mergeCell ref="D8:D12"/>
    <mergeCell ref="E8:I8"/>
    <mergeCell ref="J8:J12"/>
    <mergeCell ref="E9:E12"/>
    <mergeCell ref="F9:I9"/>
    <mergeCell ref="A52:D52"/>
    <mergeCell ref="A29:D29"/>
    <mergeCell ref="A34:D34"/>
    <mergeCell ref="A41:D41"/>
    <mergeCell ref="A50:D50"/>
    <mergeCell ref="A31:D31"/>
  </mergeCells>
  <printOptions horizontalCentered="1"/>
  <pageMargins left="0.19" right="0.31" top="0.84" bottom="0.38" header="0.5118110236220472" footer="0.26"/>
  <pageSetup fitToHeight="2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defaultGridColor="0" zoomScalePageLayoutView="0" colorId="8" workbookViewId="0" topLeftCell="A1">
      <selection activeCell="I60" sqref="I60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8:10" ht="12.75">
      <c r="H1" s="127" t="s">
        <v>225</v>
      </c>
      <c r="I1" s="127"/>
      <c r="J1" s="127"/>
    </row>
    <row r="2" spans="8:10" ht="12.75">
      <c r="H2" s="127"/>
      <c r="I2" s="127"/>
      <c r="J2" s="127"/>
    </row>
    <row r="3" spans="8:10" ht="12.75">
      <c r="H3" s="127"/>
      <c r="I3" s="127"/>
      <c r="J3" s="127"/>
    </row>
    <row r="4" spans="8:10" ht="12.75">
      <c r="H4" s="127"/>
      <c r="I4" s="127"/>
      <c r="J4" s="127"/>
    </row>
    <row r="6" spans="1:10" ht="48.75" customHeight="1">
      <c r="A6" s="129" t="s">
        <v>41</v>
      </c>
      <c r="B6" s="129"/>
      <c r="C6" s="129"/>
      <c r="D6" s="129"/>
      <c r="E6" s="129"/>
      <c r="F6" s="129"/>
      <c r="G6" s="129"/>
      <c r="H6" s="129"/>
      <c r="I6" s="129"/>
      <c r="J6" s="129"/>
    </row>
    <row r="7" ht="12.75">
      <c r="J7" s="3" t="s">
        <v>12</v>
      </c>
    </row>
    <row r="8" spans="1:10" s="2" customFormat="1" ht="20.25" customHeight="1">
      <c r="A8" s="114" t="s">
        <v>1</v>
      </c>
      <c r="B8" s="124" t="s">
        <v>2</v>
      </c>
      <c r="C8" s="124" t="s">
        <v>3</v>
      </c>
      <c r="D8" s="115" t="s">
        <v>27</v>
      </c>
      <c r="E8" s="115" t="s">
        <v>26</v>
      </c>
      <c r="F8" s="115" t="s">
        <v>20</v>
      </c>
      <c r="G8" s="115"/>
      <c r="H8" s="115"/>
      <c r="I8" s="115"/>
      <c r="J8" s="115"/>
    </row>
    <row r="9" spans="1:10" s="2" customFormat="1" ht="20.25" customHeight="1">
      <c r="A9" s="114"/>
      <c r="B9" s="125"/>
      <c r="C9" s="125"/>
      <c r="D9" s="114"/>
      <c r="E9" s="115"/>
      <c r="F9" s="115" t="s">
        <v>24</v>
      </c>
      <c r="G9" s="115" t="s">
        <v>4</v>
      </c>
      <c r="H9" s="115"/>
      <c r="I9" s="115"/>
      <c r="J9" s="115" t="s">
        <v>25</v>
      </c>
    </row>
    <row r="10" spans="1:10" s="2" customFormat="1" ht="65.25" customHeight="1">
      <c r="A10" s="114"/>
      <c r="B10" s="126"/>
      <c r="C10" s="126"/>
      <c r="D10" s="114"/>
      <c r="E10" s="115"/>
      <c r="F10" s="115"/>
      <c r="G10" s="5" t="s">
        <v>21</v>
      </c>
      <c r="H10" s="5" t="s">
        <v>22</v>
      </c>
      <c r="I10" s="5" t="s">
        <v>23</v>
      </c>
      <c r="J10" s="115"/>
    </row>
    <row r="11" spans="1:10" ht="9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</row>
    <row r="12" spans="1:10" s="75" customFormat="1" ht="19.5" customHeight="1">
      <c r="A12" s="84" t="s">
        <v>81</v>
      </c>
      <c r="B12" s="84" t="s">
        <v>84</v>
      </c>
      <c r="C12" s="85">
        <v>2010</v>
      </c>
      <c r="D12" s="64">
        <v>138548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</row>
    <row r="13" spans="1:10" s="75" customFormat="1" ht="19.5" customHeight="1">
      <c r="A13" s="84" t="s">
        <v>81</v>
      </c>
      <c r="B13" s="84" t="s">
        <v>84</v>
      </c>
      <c r="C13" s="85">
        <v>4010</v>
      </c>
      <c r="D13" s="64">
        <v>0</v>
      </c>
      <c r="E13" s="64">
        <v>2311</v>
      </c>
      <c r="F13" s="64">
        <f>E13</f>
        <v>2311</v>
      </c>
      <c r="G13" s="64">
        <f>F13</f>
        <v>2311</v>
      </c>
      <c r="H13" s="64">
        <v>0</v>
      </c>
      <c r="I13" s="64">
        <v>0</v>
      </c>
      <c r="J13" s="64">
        <v>0</v>
      </c>
    </row>
    <row r="14" spans="1:10" s="75" customFormat="1" ht="19.5" customHeight="1">
      <c r="A14" s="84" t="s">
        <v>81</v>
      </c>
      <c r="B14" s="84" t="s">
        <v>84</v>
      </c>
      <c r="C14" s="85">
        <v>4110</v>
      </c>
      <c r="D14" s="64">
        <v>0</v>
      </c>
      <c r="E14" s="64">
        <v>349</v>
      </c>
      <c r="F14" s="64">
        <f>E14</f>
        <v>349</v>
      </c>
      <c r="G14" s="64">
        <v>0</v>
      </c>
      <c r="H14" s="64">
        <f>F14</f>
        <v>349</v>
      </c>
      <c r="I14" s="64">
        <v>0</v>
      </c>
      <c r="J14" s="64">
        <v>0</v>
      </c>
    </row>
    <row r="15" spans="1:10" s="75" customFormat="1" ht="19.5" customHeight="1">
      <c r="A15" s="84" t="s">
        <v>81</v>
      </c>
      <c r="B15" s="84" t="s">
        <v>84</v>
      </c>
      <c r="C15" s="85">
        <v>4120</v>
      </c>
      <c r="D15" s="64">
        <v>0</v>
      </c>
      <c r="E15" s="64">
        <v>57</v>
      </c>
      <c r="F15" s="64">
        <f>E15</f>
        <v>57</v>
      </c>
      <c r="G15" s="64">
        <v>0</v>
      </c>
      <c r="H15" s="64">
        <f>F15</f>
        <v>57</v>
      </c>
      <c r="I15" s="64">
        <v>0</v>
      </c>
      <c r="J15" s="64">
        <v>0</v>
      </c>
    </row>
    <row r="16" spans="1:10" s="75" customFormat="1" ht="19.5" customHeight="1">
      <c r="A16" s="84" t="s">
        <v>81</v>
      </c>
      <c r="B16" s="84" t="s">
        <v>84</v>
      </c>
      <c r="C16" s="85">
        <v>4430</v>
      </c>
      <c r="D16" s="64">
        <v>0</v>
      </c>
      <c r="E16" s="64">
        <v>135831</v>
      </c>
      <c r="F16" s="64">
        <f>E16</f>
        <v>135831</v>
      </c>
      <c r="G16" s="64">
        <v>0</v>
      </c>
      <c r="H16" s="64">
        <v>0</v>
      </c>
      <c r="I16" s="64">
        <v>0</v>
      </c>
      <c r="J16" s="64">
        <v>0</v>
      </c>
    </row>
    <row r="17" spans="1:10" s="15" customFormat="1" ht="19.5" customHeight="1">
      <c r="A17" s="130" t="s">
        <v>98</v>
      </c>
      <c r="B17" s="130"/>
      <c r="C17" s="130"/>
      <c r="D17" s="61">
        <f aca="true" t="shared" si="0" ref="D17:J17">D16+D15+D14+D13+D12</f>
        <v>138548</v>
      </c>
      <c r="E17" s="61">
        <f t="shared" si="0"/>
        <v>138548</v>
      </c>
      <c r="F17" s="61">
        <f t="shared" si="0"/>
        <v>138548</v>
      </c>
      <c r="G17" s="61">
        <f t="shared" si="0"/>
        <v>2311</v>
      </c>
      <c r="H17" s="61">
        <f t="shared" si="0"/>
        <v>406</v>
      </c>
      <c r="I17" s="61">
        <f t="shared" si="0"/>
        <v>0</v>
      </c>
      <c r="J17" s="61">
        <f t="shared" si="0"/>
        <v>0</v>
      </c>
    </row>
    <row r="18" spans="1:10" ht="19.5" customHeight="1">
      <c r="A18" s="7">
        <v>750</v>
      </c>
      <c r="B18" s="7">
        <v>75011</v>
      </c>
      <c r="C18" s="7">
        <v>2010</v>
      </c>
      <c r="D18" s="86">
        <v>119235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</row>
    <row r="19" spans="1:10" ht="19.5" customHeight="1">
      <c r="A19" s="7">
        <v>750</v>
      </c>
      <c r="B19" s="7">
        <v>75011</v>
      </c>
      <c r="C19" s="7">
        <v>4010</v>
      </c>
      <c r="D19" s="86">
        <v>0</v>
      </c>
      <c r="E19" s="86">
        <v>99661</v>
      </c>
      <c r="F19" s="86">
        <f>E19</f>
        <v>99661</v>
      </c>
      <c r="G19" s="86">
        <f>F19</f>
        <v>99661</v>
      </c>
      <c r="H19" s="86">
        <v>0</v>
      </c>
      <c r="I19" s="86">
        <v>0</v>
      </c>
      <c r="J19" s="86">
        <v>0</v>
      </c>
    </row>
    <row r="20" spans="1:10" ht="19.5" customHeight="1">
      <c r="A20" s="7">
        <v>750</v>
      </c>
      <c r="B20" s="7">
        <v>75011</v>
      </c>
      <c r="C20" s="7">
        <v>4110</v>
      </c>
      <c r="D20" s="86">
        <v>0</v>
      </c>
      <c r="E20" s="86">
        <v>17132</v>
      </c>
      <c r="F20" s="86">
        <f>E20</f>
        <v>17132</v>
      </c>
      <c r="G20" s="86">
        <v>0</v>
      </c>
      <c r="H20" s="86">
        <f>F20</f>
        <v>17132</v>
      </c>
      <c r="I20" s="86">
        <v>0</v>
      </c>
      <c r="J20" s="86">
        <v>0</v>
      </c>
    </row>
    <row r="21" spans="1:10" ht="19.5" customHeight="1">
      <c r="A21" s="7">
        <v>750</v>
      </c>
      <c r="B21" s="7">
        <v>75011</v>
      </c>
      <c r="C21" s="7">
        <v>4120</v>
      </c>
      <c r="D21" s="86">
        <v>0</v>
      </c>
      <c r="E21" s="86">
        <v>2442</v>
      </c>
      <c r="F21" s="86">
        <f>E21</f>
        <v>2442</v>
      </c>
      <c r="G21" s="86">
        <v>0</v>
      </c>
      <c r="H21" s="86">
        <f>F21</f>
        <v>2442</v>
      </c>
      <c r="I21" s="86">
        <v>0</v>
      </c>
      <c r="J21" s="86">
        <v>0</v>
      </c>
    </row>
    <row r="22" spans="1:10" s="15" customFormat="1" ht="19.5" customHeight="1">
      <c r="A22" s="128" t="s">
        <v>131</v>
      </c>
      <c r="B22" s="128"/>
      <c r="C22" s="128"/>
      <c r="D22" s="61">
        <f>D21+D20+D19+D18</f>
        <v>119235</v>
      </c>
      <c r="E22" s="61">
        <f aca="true" t="shared" si="1" ref="E22:J22">E21+E20+E19+E18</f>
        <v>119235</v>
      </c>
      <c r="F22" s="61">
        <f t="shared" si="1"/>
        <v>119235</v>
      </c>
      <c r="G22" s="61">
        <f t="shared" si="1"/>
        <v>99661</v>
      </c>
      <c r="H22" s="61">
        <f t="shared" si="1"/>
        <v>19574</v>
      </c>
      <c r="I22" s="61">
        <f t="shared" si="1"/>
        <v>0</v>
      </c>
      <c r="J22" s="61">
        <f t="shared" si="1"/>
        <v>0</v>
      </c>
    </row>
    <row r="23" spans="1:10" ht="19.5" customHeight="1">
      <c r="A23" s="7">
        <v>751</v>
      </c>
      <c r="B23" s="7">
        <v>75101</v>
      </c>
      <c r="C23" s="7">
        <v>2010</v>
      </c>
      <c r="D23" s="86">
        <v>3323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</row>
    <row r="24" spans="1:10" ht="19.5" customHeight="1">
      <c r="A24" s="7">
        <v>751</v>
      </c>
      <c r="B24" s="7">
        <v>75101</v>
      </c>
      <c r="C24" s="7">
        <v>4010</v>
      </c>
      <c r="D24" s="86">
        <v>0</v>
      </c>
      <c r="E24" s="86">
        <v>2777</v>
      </c>
      <c r="F24" s="86">
        <f>E24</f>
        <v>2777</v>
      </c>
      <c r="G24" s="86">
        <f>F24</f>
        <v>2777</v>
      </c>
      <c r="H24" s="86">
        <v>0</v>
      </c>
      <c r="I24" s="86">
        <v>0</v>
      </c>
      <c r="J24" s="86">
        <v>0</v>
      </c>
    </row>
    <row r="25" spans="1:10" ht="19.5" customHeight="1">
      <c r="A25" s="7">
        <v>751</v>
      </c>
      <c r="B25" s="7">
        <v>75101</v>
      </c>
      <c r="C25" s="7">
        <v>4110</v>
      </c>
      <c r="D25" s="86">
        <v>0</v>
      </c>
      <c r="E25" s="86">
        <v>477</v>
      </c>
      <c r="F25" s="86">
        <f>E25</f>
        <v>477</v>
      </c>
      <c r="G25" s="86">
        <v>0</v>
      </c>
      <c r="H25" s="86">
        <f>F25</f>
        <v>477</v>
      </c>
      <c r="I25" s="86">
        <v>0</v>
      </c>
      <c r="J25" s="86">
        <v>0</v>
      </c>
    </row>
    <row r="26" spans="1:10" ht="19.5" customHeight="1">
      <c r="A26" s="7">
        <v>751</v>
      </c>
      <c r="B26" s="7">
        <v>75101</v>
      </c>
      <c r="C26" s="7">
        <v>4120</v>
      </c>
      <c r="D26" s="86">
        <v>0</v>
      </c>
      <c r="E26" s="86">
        <v>69</v>
      </c>
      <c r="F26" s="86">
        <f>E26</f>
        <v>69</v>
      </c>
      <c r="G26" s="86">
        <v>0</v>
      </c>
      <c r="H26" s="86">
        <f>F26</f>
        <v>69</v>
      </c>
      <c r="I26" s="86">
        <v>0</v>
      </c>
      <c r="J26" s="86">
        <v>0</v>
      </c>
    </row>
    <row r="27" spans="1:10" s="15" customFormat="1" ht="19.5" customHeight="1">
      <c r="A27" s="128" t="s">
        <v>154</v>
      </c>
      <c r="B27" s="128"/>
      <c r="C27" s="128"/>
      <c r="D27" s="61">
        <f>D26+D25+D24+D23</f>
        <v>3323</v>
      </c>
      <c r="E27" s="61">
        <f aca="true" t="shared" si="2" ref="E27:J27">E26+E25+E24+E23</f>
        <v>3323</v>
      </c>
      <c r="F27" s="61">
        <f t="shared" si="2"/>
        <v>3323</v>
      </c>
      <c r="G27" s="61">
        <f t="shared" si="2"/>
        <v>2777</v>
      </c>
      <c r="H27" s="61">
        <f t="shared" si="2"/>
        <v>546</v>
      </c>
      <c r="I27" s="61">
        <f t="shared" si="2"/>
        <v>0</v>
      </c>
      <c r="J27" s="61">
        <f t="shared" si="2"/>
        <v>0</v>
      </c>
    </row>
    <row r="28" spans="1:10" ht="19.5" customHeight="1">
      <c r="A28" s="7">
        <v>852</v>
      </c>
      <c r="B28" s="7">
        <v>85212</v>
      </c>
      <c r="C28" s="7">
        <v>2010</v>
      </c>
      <c r="D28" s="86">
        <f>7047970+835318</f>
        <v>7883288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86">
        <v>0</v>
      </c>
    </row>
    <row r="29" spans="1:10" ht="19.5" customHeight="1">
      <c r="A29" s="7">
        <v>852</v>
      </c>
      <c r="B29" s="7">
        <v>85212</v>
      </c>
      <c r="C29" s="7">
        <v>3110</v>
      </c>
      <c r="D29" s="86">
        <v>0</v>
      </c>
      <c r="E29" s="86">
        <f>6796657+810990</f>
        <v>7607647</v>
      </c>
      <c r="F29" s="86">
        <f>E29</f>
        <v>7607647</v>
      </c>
      <c r="G29" s="86">
        <v>0</v>
      </c>
      <c r="H29" s="86">
        <v>0</v>
      </c>
      <c r="I29" s="86">
        <v>0</v>
      </c>
      <c r="J29" s="86">
        <v>0</v>
      </c>
    </row>
    <row r="30" spans="1:10" ht="19.5" customHeight="1">
      <c r="A30" s="7">
        <v>852</v>
      </c>
      <c r="B30" s="7">
        <v>85212</v>
      </c>
      <c r="C30" s="7">
        <v>4010</v>
      </c>
      <c r="D30" s="86">
        <v>0</v>
      </c>
      <c r="E30" s="86">
        <f>119908+20000</f>
        <v>139908</v>
      </c>
      <c r="F30" s="86">
        <f aca="true" t="shared" si="3" ref="F30:F42">E30</f>
        <v>139908</v>
      </c>
      <c r="G30" s="86">
        <f>E30</f>
        <v>139908</v>
      </c>
      <c r="H30" s="86">
        <v>0</v>
      </c>
      <c r="I30" s="86">
        <v>0</v>
      </c>
      <c r="J30" s="86">
        <v>0</v>
      </c>
    </row>
    <row r="31" spans="1:10" ht="19.5" customHeight="1">
      <c r="A31" s="7">
        <v>852</v>
      </c>
      <c r="B31" s="7">
        <v>85212</v>
      </c>
      <c r="C31" s="7">
        <v>4040</v>
      </c>
      <c r="D31" s="86">
        <v>0</v>
      </c>
      <c r="E31" s="86">
        <v>7645</v>
      </c>
      <c r="F31" s="86">
        <f t="shared" si="3"/>
        <v>7645</v>
      </c>
      <c r="G31" s="86">
        <f>E31</f>
        <v>7645</v>
      </c>
      <c r="H31" s="86">
        <v>0</v>
      </c>
      <c r="I31" s="86">
        <v>0</v>
      </c>
      <c r="J31" s="86">
        <v>0</v>
      </c>
    </row>
    <row r="32" spans="1:10" ht="19.5" customHeight="1">
      <c r="A32" s="7">
        <v>852</v>
      </c>
      <c r="B32" s="7">
        <v>85212</v>
      </c>
      <c r="C32" s="7">
        <v>4110</v>
      </c>
      <c r="D32" s="86">
        <v>0</v>
      </c>
      <c r="E32" s="86">
        <f>65727+3088</f>
        <v>68815</v>
      </c>
      <c r="F32" s="86">
        <f t="shared" si="3"/>
        <v>68815</v>
      </c>
      <c r="G32" s="86">
        <v>0</v>
      </c>
      <c r="H32" s="86">
        <f>E32</f>
        <v>68815</v>
      </c>
      <c r="I32" s="86">
        <v>0</v>
      </c>
      <c r="J32" s="86">
        <v>0</v>
      </c>
    </row>
    <row r="33" spans="1:10" ht="19.5" customHeight="1">
      <c r="A33" s="7">
        <v>852</v>
      </c>
      <c r="B33" s="7">
        <v>85212</v>
      </c>
      <c r="C33" s="7">
        <v>4120</v>
      </c>
      <c r="D33" s="86">
        <v>0</v>
      </c>
      <c r="E33" s="86">
        <f>3126+490</f>
        <v>3616</v>
      </c>
      <c r="F33" s="86">
        <f t="shared" si="3"/>
        <v>3616</v>
      </c>
      <c r="G33" s="86">
        <v>0</v>
      </c>
      <c r="H33" s="86">
        <f>E33</f>
        <v>3616</v>
      </c>
      <c r="I33" s="86">
        <v>0</v>
      </c>
      <c r="J33" s="86">
        <v>0</v>
      </c>
    </row>
    <row r="34" spans="1:10" ht="19.5" customHeight="1">
      <c r="A34" s="7">
        <v>852</v>
      </c>
      <c r="B34" s="7">
        <v>85212</v>
      </c>
      <c r="C34" s="7">
        <v>4170</v>
      </c>
      <c r="D34" s="86">
        <v>0</v>
      </c>
      <c r="E34" s="86">
        <v>2400</v>
      </c>
      <c r="F34" s="86">
        <f t="shared" si="3"/>
        <v>2400</v>
      </c>
      <c r="G34" s="86">
        <f>E34</f>
        <v>2400</v>
      </c>
      <c r="H34" s="86">
        <v>0</v>
      </c>
      <c r="I34" s="86">
        <v>0</v>
      </c>
      <c r="J34" s="86">
        <v>0</v>
      </c>
    </row>
    <row r="35" spans="1:10" ht="19.5" customHeight="1">
      <c r="A35" s="7">
        <v>852</v>
      </c>
      <c r="B35" s="7">
        <v>85212</v>
      </c>
      <c r="C35" s="7">
        <v>4210</v>
      </c>
      <c r="D35" s="86">
        <v>0</v>
      </c>
      <c r="E35" s="86">
        <v>14057</v>
      </c>
      <c r="F35" s="86">
        <f t="shared" si="3"/>
        <v>14057</v>
      </c>
      <c r="G35" s="86">
        <v>0</v>
      </c>
      <c r="H35" s="86">
        <v>0</v>
      </c>
      <c r="I35" s="86">
        <v>0</v>
      </c>
      <c r="J35" s="86">
        <v>0</v>
      </c>
    </row>
    <row r="36" spans="1:10" ht="19.5" customHeight="1">
      <c r="A36" s="7">
        <v>852</v>
      </c>
      <c r="B36" s="7">
        <v>85212</v>
      </c>
      <c r="C36" s="7">
        <v>4300</v>
      </c>
      <c r="D36" s="86">
        <v>0</v>
      </c>
      <c r="E36" s="86">
        <v>26000</v>
      </c>
      <c r="F36" s="86">
        <f t="shared" si="3"/>
        <v>26000</v>
      </c>
      <c r="G36" s="86">
        <v>0</v>
      </c>
      <c r="H36" s="86">
        <v>0</v>
      </c>
      <c r="I36" s="86">
        <v>0</v>
      </c>
      <c r="J36" s="86">
        <v>0</v>
      </c>
    </row>
    <row r="37" spans="1:10" ht="19.5" customHeight="1">
      <c r="A37" s="7">
        <v>852</v>
      </c>
      <c r="B37" s="7">
        <v>85212</v>
      </c>
      <c r="C37" s="7">
        <v>4370</v>
      </c>
      <c r="D37" s="86">
        <v>0</v>
      </c>
      <c r="E37" s="86">
        <v>7530</v>
      </c>
      <c r="F37" s="86">
        <f t="shared" si="3"/>
        <v>7530</v>
      </c>
      <c r="G37" s="86">
        <v>0</v>
      </c>
      <c r="H37" s="86">
        <v>0</v>
      </c>
      <c r="I37" s="86">
        <v>0</v>
      </c>
      <c r="J37" s="86">
        <v>0</v>
      </c>
    </row>
    <row r="38" spans="1:10" ht="19.5" customHeight="1">
      <c r="A38" s="7">
        <v>852</v>
      </c>
      <c r="B38" s="7">
        <v>85212</v>
      </c>
      <c r="C38" s="7">
        <v>4440</v>
      </c>
      <c r="D38" s="86">
        <v>0</v>
      </c>
      <c r="E38" s="86">
        <v>2720</v>
      </c>
      <c r="F38" s="86">
        <f t="shared" si="3"/>
        <v>2720</v>
      </c>
      <c r="G38" s="86">
        <v>0</v>
      </c>
      <c r="H38" s="86">
        <v>0</v>
      </c>
      <c r="I38" s="86">
        <v>0</v>
      </c>
      <c r="J38" s="86">
        <v>0</v>
      </c>
    </row>
    <row r="39" spans="1:10" ht="19.5" customHeight="1">
      <c r="A39" s="7">
        <v>852</v>
      </c>
      <c r="B39" s="7">
        <v>85212</v>
      </c>
      <c r="C39" s="7">
        <v>4740</v>
      </c>
      <c r="D39" s="86">
        <v>0</v>
      </c>
      <c r="E39" s="86">
        <v>1200</v>
      </c>
      <c r="F39" s="86">
        <f t="shared" si="3"/>
        <v>1200</v>
      </c>
      <c r="G39" s="86">
        <v>0</v>
      </c>
      <c r="H39" s="86">
        <v>0</v>
      </c>
      <c r="I39" s="86">
        <v>0</v>
      </c>
      <c r="J39" s="86">
        <v>0</v>
      </c>
    </row>
    <row r="40" spans="1:10" ht="19.5" customHeight="1">
      <c r="A40" s="7">
        <v>852</v>
      </c>
      <c r="B40" s="7">
        <v>85212</v>
      </c>
      <c r="C40" s="7">
        <v>4700</v>
      </c>
      <c r="D40" s="86">
        <v>0</v>
      </c>
      <c r="E40" s="86">
        <v>750</v>
      </c>
      <c r="F40" s="86">
        <f t="shared" si="3"/>
        <v>750</v>
      </c>
      <c r="G40" s="86">
        <v>0</v>
      </c>
      <c r="H40" s="86">
        <v>0</v>
      </c>
      <c r="I40" s="86">
        <v>0</v>
      </c>
      <c r="J40" s="86">
        <v>0</v>
      </c>
    </row>
    <row r="41" spans="1:10" ht="19.5" customHeight="1">
      <c r="A41" s="7">
        <v>852</v>
      </c>
      <c r="B41" s="7">
        <v>85212</v>
      </c>
      <c r="C41" s="7">
        <v>4750</v>
      </c>
      <c r="D41" s="86">
        <v>0</v>
      </c>
      <c r="E41" s="86">
        <v>1000</v>
      </c>
      <c r="F41" s="86">
        <f t="shared" si="3"/>
        <v>1000</v>
      </c>
      <c r="G41" s="86">
        <v>0</v>
      </c>
      <c r="H41" s="86">
        <v>0</v>
      </c>
      <c r="I41" s="86">
        <v>0</v>
      </c>
      <c r="J41" s="86">
        <v>0</v>
      </c>
    </row>
    <row r="42" spans="1:10" ht="19.5" customHeight="1">
      <c r="A42" s="7">
        <v>852</v>
      </c>
      <c r="B42" s="7">
        <v>85213</v>
      </c>
      <c r="C42" s="7">
        <v>2010</v>
      </c>
      <c r="D42" s="86">
        <v>43274</v>
      </c>
      <c r="E42" s="86">
        <v>0</v>
      </c>
      <c r="F42" s="86">
        <f t="shared" si="3"/>
        <v>0</v>
      </c>
      <c r="G42" s="86">
        <v>0</v>
      </c>
      <c r="H42" s="86">
        <v>0</v>
      </c>
      <c r="I42" s="86">
        <v>0</v>
      </c>
      <c r="J42" s="86">
        <v>0</v>
      </c>
    </row>
    <row r="43" spans="1:10" ht="19.5" customHeight="1">
      <c r="A43" s="7">
        <v>852</v>
      </c>
      <c r="B43" s="7">
        <v>85213</v>
      </c>
      <c r="C43" s="7">
        <v>4130</v>
      </c>
      <c r="D43" s="86">
        <v>0</v>
      </c>
      <c r="E43" s="86">
        <v>43274</v>
      </c>
      <c r="F43" s="86">
        <f>E43</f>
        <v>43274</v>
      </c>
      <c r="G43" s="86">
        <v>0</v>
      </c>
      <c r="H43" s="86">
        <f>E43</f>
        <v>43274</v>
      </c>
      <c r="I43" s="86">
        <v>0</v>
      </c>
      <c r="J43" s="86">
        <v>0</v>
      </c>
    </row>
    <row r="44" spans="1:10" ht="19.5" customHeight="1">
      <c r="A44" s="7">
        <v>852</v>
      </c>
      <c r="B44" s="7">
        <v>85214</v>
      </c>
      <c r="C44" s="7">
        <v>2010</v>
      </c>
      <c r="D44" s="86">
        <v>314885</v>
      </c>
      <c r="E44" s="86">
        <v>0</v>
      </c>
      <c r="F44" s="86">
        <f>E44</f>
        <v>0</v>
      </c>
      <c r="G44" s="86">
        <f>G45</f>
        <v>0</v>
      </c>
      <c r="H44" s="86">
        <f>H45</f>
        <v>0</v>
      </c>
      <c r="I44" s="86">
        <v>0</v>
      </c>
      <c r="J44" s="86">
        <v>0</v>
      </c>
    </row>
    <row r="45" spans="1:10" ht="19.5" customHeight="1">
      <c r="A45" s="7">
        <v>852</v>
      </c>
      <c r="B45" s="7">
        <v>85214</v>
      </c>
      <c r="C45" s="7">
        <v>3110</v>
      </c>
      <c r="D45" s="86">
        <v>0</v>
      </c>
      <c r="E45" s="86">
        <v>314885</v>
      </c>
      <c r="F45" s="86">
        <f>E45</f>
        <v>314885</v>
      </c>
      <c r="G45" s="86">
        <v>0</v>
      </c>
      <c r="H45" s="86">
        <v>0</v>
      </c>
      <c r="I45" s="86">
        <v>0</v>
      </c>
      <c r="J45" s="86">
        <v>0</v>
      </c>
    </row>
    <row r="46" spans="1:10" ht="19.5" customHeight="1">
      <c r="A46" s="7">
        <v>852</v>
      </c>
      <c r="B46" s="7">
        <v>85228</v>
      </c>
      <c r="C46" s="7">
        <v>2010</v>
      </c>
      <c r="D46" s="86">
        <v>48234</v>
      </c>
      <c r="E46" s="86">
        <v>0</v>
      </c>
      <c r="F46" s="86">
        <f>E46</f>
        <v>0</v>
      </c>
      <c r="G46" s="86">
        <v>0</v>
      </c>
      <c r="H46" s="86">
        <v>0</v>
      </c>
      <c r="I46" s="86">
        <v>0</v>
      </c>
      <c r="J46" s="86">
        <v>0</v>
      </c>
    </row>
    <row r="47" spans="1:10" ht="19.5" customHeight="1">
      <c r="A47" s="7">
        <v>852</v>
      </c>
      <c r="B47" s="7">
        <v>85228</v>
      </c>
      <c r="C47" s="7">
        <v>3020</v>
      </c>
      <c r="D47" s="86">
        <v>0</v>
      </c>
      <c r="E47" s="86">
        <v>251</v>
      </c>
      <c r="F47" s="86">
        <f>E47</f>
        <v>251</v>
      </c>
      <c r="G47" s="86">
        <v>0</v>
      </c>
      <c r="H47" s="86">
        <v>0</v>
      </c>
      <c r="I47" s="86">
        <v>0</v>
      </c>
      <c r="J47" s="86">
        <v>0</v>
      </c>
    </row>
    <row r="48" spans="1:10" ht="19.5" customHeight="1">
      <c r="A48" s="7">
        <v>852</v>
      </c>
      <c r="B48" s="7">
        <v>85228</v>
      </c>
      <c r="C48" s="7">
        <v>4010</v>
      </c>
      <c r="D48" s="86">
        <v>0</v>
      </c>
      <c r="E48" s="86">
        <v>34608</v>
      </c>
      <c r="F48" s="86">
        <f aca="true" t="shared" si="4" ref="F48:F53">E48</f>
        <v>34608</v>
      </c>
      <c r="G48" s="86">
        <f>F48</f>
        <v>34608</v>
      </c>
      <c r="H48" s="86">
        <v>0</v>
      </c>
      <c r="I48" s="86">
        <v>0</v>
      </c>
      <c r="J48" s="86">
        <v>0</v>
      </c>
    </row>
    <row r="49" spans="1:10" ht="19.5" customHeight="1">
      <c r="A49" s="7">
        <v>852</v>
      </c>
      <c r="B49" s="7">
        <v>85228</v>
      </c>
      <c r="C49" s="7">
        <v>4040</v>
      </c>
      <c r="D49" s="86">
        <v>0</v>
      </c>
      <c r="E49" s="86">
        <v>1225</v>
      </c>
      <c r="F49" s="86">
        <f t="shared" si="4"/>
        <v>1225</v>
      </c>
      <c r="G49" s="86">
        <f>F49</f>
        <v>1225</v>
      </c>
      <c r="H49" s="86">
        <v>0</v>
      </c>
      <c r="I49" s="86">
        <v>0</v>
      </c>
      <c r="J49" s="86">
        <v>0</v>
      </c>
    </row>
    <row r="50" spans="1:10" ht="19.5" customHeight="1">
      <c r="A50" s="7">
        <v>852</v>
      </c>
      <c r="B50" s="7">
        <v>85228</v>
      </c>
      <c r="C50" s="7">
        <v>4110</v>
      </c>
      <c r="D50" s="86">
        <v>0</v>
      </c>
      <c r="E50" s="86">
        <v>6058</v>
      </c>
      <c r="F50" s="86">
        <f t="shared" si="4"/>
        <v>6058</v>
      </c>
      <c r="G50" s="86">
        <v>0</v>
      </c>
      <c r="H50" s="86">
        <f>F50</f>
        <v>6058</v>
      </c>
      <c r="I50" s="86">
        <v>0</v>
      </c>
      <c r="J50" s="86">
        <v>0</v>
      </c>
    </row>
    <row r="51" spans="1:10" ht="19.5" customHeight="1">
      <c r="A51" s="7">
        <v>852</v>
      </c>
      <c r="B51" s="7">
        <v>85228</v>
      </c>
      <c r="C51" s="7">
        <v>4120</v>
      </c>
      <c r="D51" s="86">
        <v>0</v>
      </c>
      <c r="E51" s="86">
        <v>878</v>
      </c>
      <c r="F51" s="86">
        <f t="shared" si="4"/>
        <v>878</v>
      </c>
      <c r="G51" s="86">
        <v>0</v>
      </c>
      <c r="H51" s="86">
        <f>F51</f>
        <v>878</v>
      </c>
      <c r="I51" s="86">
        <v>0</v>
      </c>
      <c r="J51" s="86">
        <v>0</v>
      </c>
    </row>
    <row r="52" spans="1:10" ht="19.5" customHeight="1">
      <c r="A52" s="7">
        <v>852</v>
      </c>
      <c r="B52" s="7">
        <v>85228</v>
      </c>
      <c r="C52" s="7">
        <v>4170</v>
      </c>
      <c r="D52" s="86">
        <v>0</v>
      </c>
      <c r="E52" s="86">
        <v>3400</v>
      </c>
      <c r="F52" s="86">
        <f t="shared" si="4"/>
        <v>3400</v>
      </c>
      <c r="G52" s="86">
        <f>F52</f>
        <v>3400</v>
      </c>
      <c r="H52" s="86">
        <v>0</v>
      </c>
      <c r="I52" s="86">
        <v>0</v>
      </c>
      <c r="J52" s="86">
        <v>0</v>
      </c>
    </row>
    <row r="53" spans="1:10" ht="19.5" customHeight="1">
      <c r="A53" s="7">
        <v>852</v>
      </c>
      <c r="B53" s="7">
        <v>85228</v>
      </c>
      <c r="C53" s="7">
        <v>4440</v>
      </c>
      <c r="D53" s="86">
        <v>0</v>
      </c>
      <c r="E53" s="86">
        <v>1814</v>
      </c>
      <c r="F53" s="86">
        <f t="shared" si="4"/>
        <v>1814</v>
      </c>
      <c r="G53" s="86">
        <v>0</v>
      </c>
      <c r="H53" s="86">
        <v>0</v>
      </c>
      <c r="I53" s="86">
        <v>0</v>
      </c>
      <c r="J53" s="86">
        <v>0</v>
      </c>
    </row>
    <row r="54" spans="1:10" s="15" customFormat="1" ht="19.5" customHeight="1">
      <c r="A54" s="128" t="s">
        <v>155</v>
      </c>
      <c r="B54" s="128"/>
      <c r="C54" s="128"/>
      <c r="D54" s="61">
        <f>D53+D52+D51+D50+D49+D48+D40+D47+D46+D45+D44+D43+D42+D41+D39+D38+D37+D36+D35+D34+D33+D32+D31+D30+D29+D28</f>
        <v>8289681</v>
      </c>
      <c r="E54" s="61">
        <f>E53+E52+E51+E50+E49+E48+E40+E47+E46+E45+E44+E43+E42+E41+E39+E38+E37+E36+E35+E34+E33+E32+E31+E30+E29+E28</f>
        <v>8289681</v>
      </c>
      <c r="F54" s="61">
        <f>F53+F52+F51+F50+F49+F48+F40+F47+F46+F45+F44+F43+F42+F41+F39+F38+F37+F36+F35+F34+F33+F32+F31+F30+F29+F28</f>
        <v>8289681</v>
      </c>
      <c r="G54" s="61">
        <f>G53+G52+G51+G50+G49+G48+G40+G47+G46+G45+G44+G43+G42+G41+G39+G38+G37+G36+G35+G34+G33+G32+G31+G30+G29+G28</f>
        <v>189186</v>
      </c>
      <c r="H54" s="61">
        <f>H53+H52+H51+H50+H49+H48+H40+H47+H46+H45+H44+H43+H42+H41+H39+H38+H37+H36+H35+H34+H33+H32+H31+H30+H29+H28</f>
        <v>122641</v>
      </c>
      <c r="I54" s="61">
        <f>I53+I52+I51+I50+I49+I48+I47+I46+I45+I44+I43+I42+I41+I39+I38+I37+I36+I35+I34+I33+I32+I31+I30+I29+I28</f>
        <v>0</v>
      </c>
      <c r="J54" s="61">
        <f>J53+J52+J51+J50+J49+J48+J47+J46+J45+J44+J43+J42+J41+J39+J38+J37+J36+J35+J34+J33+J32+J31+J30+J29+J28</f>
        <v>0</v>
      </c>
    </row>
    <row r="55" spans="1:10" ht="19.5" customHeight="1">
      <c r="A55" s="123" t="s">
        <v>31</v>
      </c>
      <c r="B55" s="123"/>
      <c r="C55" s="123"/>
      <c r="D55" s="77">
        <f>D54+D27+D22+D17</f>
        <v>8550787</v>
      </c>
      <c r="E55" s="77">
        <f aca="true" t="shared" si="5" ref="E55:J55">E54+E27+E22+E17</f>
        <v>8550787</v>
      </c>
      <c r="F55" s="77">
        <f t="shared" si="5"/>
        <v>8550787</v>
      </c>
      <c r="G55" s="77">
        <f t="shared" si="5"/>
        <v>293935</v>
      </c>
      <c r="H55" s="77">
        <f t="shared" si="5"/>
        <v>143167</v>
      </c>
      <c r="I55" s="77">
        <f t="shared" si="5"/>
        <v>0</v>
      </c>
      <c r="J55" s="77">
        <f t="shared" si="5"/>
        <v>0</v>
      </c>
    </row>
    <row r="57" spans="6:9" ht="12.75">
      <c r="F57" s="36"/>
      <c r="I57" t="s">
        <v>220</v>
      </c>
    </row>
    <row r="58" ht="12.75">
      <c r="I58" t="s">
        <v>221</v>
      </c>
    </row>
    <row r="60" ht="12.75">
      <c r="I60" t="s">
        <v>222</v>
      </c>
    </row>
  </sheetData>
  <sheetProtection/>
  <mergeCells count="16">
    <mergeCell ref="H1:J4"/>
    <mergeCell ref="A22:C22"/>
    <mergeCell ref="A27:C27"/>
    <mergeCell ref="A54:C54"/>
    <mergeCell ref="A6:J6"/>
    <mergeCell ref="A17:C17"/>
    <mergeCell ref="A55:C55"/>
    <mergeCell ref="G9:I9"/>
    <mergeCell ref="J9:J10"/>
    <mergeCell ref="F8:J8"/>
    <mergeCell ref="F9:F10"/>
    <mergeCell ref="D8:D10"/>
    <mergeCell ref="E8:E10"/>
    <mergeCell ref="A8:A10"/>
    <mergeCell ref="B8:B10"/>
    <mergeCell ref="C8:C10"/>
  </mergeCells>
  <printOptions horizontalCentered="1"/>
  <pageMargins left="0.5511811023622047" right="0.27" top="0.63" bottom="0.3937007874015748" header="0.28" footer="0.5118110236220472"/>
  <pageSetup fitToHeight="2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G1" sqref="G1:I5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625" style="0" customWidth="1"/>
    <col min="4" max="4" width="15.00390625" style="0" customWidth="1"/>
    <col min="6" max="6" width="9.625" style="0" customWidth="1"/>
    <col min="8" max="8" width="10.125" style="0" customWidth="1"/>
    <col min="9" max="9" width="14.375" style="0" customWidth="1"/>
  </cols>
  <sheetData>
    <row r="1" spans="7:9" ht="12.75">
      <c r="G1" s="127" t="s">
        <v>226</v>
      </c>
      <c r="H1" s="127"/>
      <c r="I1" s="127"/>
    </row>
    <row r="2" spans="7:9" ht="12.75" customHeight="1">
      <c r="G2" s="127"/>
      <c r="H2" s="127"/>
      <c r="I2" s="127"/>
    </row>
    <row r="3" spans="7:9" ht="12.75">
      <c r="G3" s="127"/>
      <c r="H3" s="127"/>
      <c r="I3" s="127"/>
    </row>
    <row r="4" spans="7:9" ht="12.75">
      <c r="G4" s="127"/>
      <c r="H4" s="127"/>
      <c r="I4" s="127"/>
    </row>
    <row r="5" spans="7:9" ht="12.75">
      <c r="G5" s="127"/>
      <c r="H5" s="127"/>
      <c r="I5" s="127"/>
    </row>
    <row r="7" spans="1:9" ht="16.5">
      <c r="A7" s="131" t="s">
        <v>169</v>
      </c>
      <c r="B7" s="131"/>
      <c r="C7" s="131"/>
      <c r="D7" s="131"/>
      <c r="E7" s="131"/>
      <c r="F7" s="131"/>
      <c r="G7" s="131"/>
      <c r="H7" s="131"/>
      <c r="I7" s="131"/>
    </row>
    <row r="8" spans="1:9" ht="16.5">
      <c r="A8" s="131" t="s">
        <v>62</v>
      </c>
      <c r="B8" s="131"/>
      <c r="C8" s="131"/>
      <c r="D8" s="131"/>
      <c r="E8" s="131"/>
      <c r="F8" s="131"/>
      <c r="G8" s="131"/>
      <c r="H8" s="131"/>
      <c r="I8" s="131"/>
    </row>
    <row r="9" spans="1:9" ht="13.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12.75">
      <c r="A10" s="1"/>
      <c r="B10" s="1"/>
      <c r="C10" s="1"/>
      <c r="D10" s="1"/>
      <c r="E10" s="1"/>
      <c r="F10" s="1"/>
      <c r="G10" s="1"/>
      <c r="H10" s="1"/>
      <c r="I10" s="3" t="s">
        <v>12</v>
      </c>
    </row>
    <row r="11" spans="1:9" ht="15" customHeight="1">
      <c r="A11" s="114" t="s">
        <v>15</v>
      </c>
      <c r="B11" s="114" t="s">
        <v>44</v>
      </c>
      <c r="C11" s="115" t="s">
        <v>1</v>
      </c>
      <c r="D11" s="115" t="s">
        <v>46</v>
      </c>
      <c r="E11" s="115" t="s">
        <v>63</v>
      </c>
      <c r="F11" s="115"/>
      <c r="G11" s="115" t="s">
        <v>50</v>
      </c>
      <c r="H11" s="115"/>
      <c r="I11" s="115" t="s">
        <v>52</v>
      </c>
    </row>
    <row r="12" spans="1:9" ht="15" customHeight="1">
      <c r="A12" s="114"/>
      <c r="B12" s="114"/>
      <c r="C12" s="115"/>
      <c r="D12" s="115"/>
      <c r="E12" s="115" t="s">
        <v>64</v>
      </c>
      <c r="F12" s="115" t="s">
        <v>65</v>
      </c>
      <c r="G12" s="115" t="s">
        <v>64</v>
      </c>
      <c r="H12" s="115" t="s">
        <v>66</v>
      </c>
      <c r="I12" s="115"/>
    </row>
    <row r="13" spans="1:9" ht="15" customHeight="1">
      <c r="A13" s="114"/>
      <c r="B13" s="114"/>
      <c r="C13" s="115"/>
      <c r="D13" s="115"/>
      <c r="E13" s="115"/>
      <c r="F13" s="115"/>
      <c r="G13" s="115"/>
      <c r="H13" s="115"/>
      <c r="I13" s="115"/>
    </row>
    <row r="14" spans="1:9" ht="15" customHeight="1">
      <c r="A14" s="114"/>
      <c r="B14" s="114"/>
      <c r="C14" s="115"/>
      <c r="D14" s="115"/>
      <c r="E14" s="115"/>
      <c r="F14" s="115"/>
      <c r="G14" s="115"/>
      <c r="H14" s="115"/>
      <c r="I14" s="115"/>
    </row>
    <row r="15" spans="1:9" ht="7.5" customHeight="1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</row>
    <row r="16" spans="1:9" ht="21.75" customHeight="1">
      <c r="A16" s="11" t="s">
        <v>45</v>
      </c>
      <c r="B16" s="8" t="s">
        <v>67</v>
      </c>
      <c r="C16" s="8"/>
      <c r="D16" s="60">
        <f aca="true" t="shared" si="0" ref="D16:I16">D18+D19</f>
        <v>53367</v>
      </c>
      <c r="E16" s="60">
        <f t="shared" si="0"/>
        <v>3904926</v>
      </c>
      <c r="F16" s="60">
        <f t="shared" si="0"/>
        <v>2510566</v>
      </c>
      <c r="G16" s="60">
        <f t="shared" si="0"/>
        <v>3897628</v>
      </c>
      <c r="H16" s="60">
        <f t="shared" si="0"/>
        <v>0</v>
      </c>
      <c r="I16" s="60">
        <f t="shared" si="0"/>
        <v>60665</v>
      </c>
    </row>
    <row r="17" spans="1:9" ht="21.75" customHeight="1">
      <c r="A17" s="12"/>
      <c r="B17" s="26" t="s">
        <v>4</v>
      </c>
      <c r="C17" s="26"/>
      <c r="D17" s="58"/>
      <c r="E17" s="58"/>
      <c r="F17" s="58"/>
      <c r="G17" s="58"/>
      <c r="H17" s="58"/>
      <c r="I17" s="58"/>
    </row>
    <row r="18" spans="1:9" ht="21.75" customHeight="1">
      <c r="A18" s="12"/>
      <c r="B18" s="27" t="s">
        <v>137</v>
      </c>
      <c r="C18" s="27">
        <v>801</v>
      </c>
      <c r="D18" s="58">
        <v>5907</v>
      </c>
      <c r="E18" s="58">
        <f>2311560+5566</f>
        <v>2317126</v>
      </c>
      <c r="F18" s="58">
        <f>1800000+5566</f>
        <v>1805566</v>
      </c>
      <c r="G18" s="58">
        <f>2311849+5566</f>
        <v>2317415</v>
      </c>
      <c r="H18" s="58">
        <v>0</v>
      </c>
      <c r="I18" s="58">
        <f>D18+E18-G18</f>
        <v>5618</v>
      </c>
    </row>
    <row r="19" spans="1:9" ht="21.75" customHeight="1">
      <c r="A19" s="12"/>
      <c r="B19" s="27" t="s">
        <v>138</v>
      </c>
      <c r="C19" s="27">
        <v>926</v>
      </c>
      <c r="D19" s="58">
        <v>47460</v>
      </c>
      <c r="E19" s="58">
        <f>1522800+20000+45000</f>
        <v>1587800</v>
      </c>
      <c r="F19" s="58">
        <f>640000+20000+45000</f>
        <v>705000</v>
      </c>
      <c r="G19" s="58">
        <f>1515213+20000+45000</f>
        <v>1580213</v>
      </c>
      <c r="H19" s="58">
        <v>0</v>
      </c>
      <c r="I19" s="58">
        <f>D19+E19-G19</f>
        <v>55047</v>
      </c>
    </row>
    <row r="20" spans="1:9" ht="21.75" customHeight="1">
      <c r="A20" s="11" t="s">
        <v>47</v>
      </c>
      <c r="B20" s="8" t="s">
        <v>68</v>
      </c>
      <c r="C20" s="8"/>
      <c r="D20" s="60"/>
      <c r="E20" s="60"/>
      <c r="F20" s="60"/>
      <c r="G20" s="60"/>
      <c r="H20" s="60"/>
      <c r="I20" s="60"/>
    </row>
    <row r="21" spans="1:9" ht="21.75" customHeight="1">
      <c r="A21" s="12"/>
      <c r="B21" s="26" t="s">
        <v>4</v>
      </c>
      <c r="C21" s="26"/>
      <c r="D21" s="58"/>
      <c r="E21" s="58"/>
      <c r="F21" s="58"/>
      <c r="G21" s="58"/>
      <c r="H21" s="58"/>
      <c r="I21" s="58"/>
    </row>
    <row r="22" spans="1:9" ht="21.75" customHeight="1">
      <c r="A22" s="12"/>
      <c r="B22" s="27" t="s">
        <v>5</v>
      </c>
      <c r="C22" s="27"/>
      <c r="D22" s="58"/>
      <c r="E22" s="58"/>
      <c r="F22" s="58"/>
      <c r="G22" s="58"/>
      <c r="H22" s="58"/>
      <c r="I22" s="58"/>
    </row>
    <row r="23" spans="1:9" ht="21.75" customHeight="1">
      <c r="A23" s="11" t="s">
        <v>49</v>
      </c>
      <c r="B23" s="8" t="s">
        <v>69</v>
      </c>
      <c r="C23" s="8"/>
      <c r="D23" s="60">
        <f>D25+D26+D27+D28</f>
        <v>95954</v>
      </c>
      <c r="E23" s="60">
        <f>E25+E26+E27+E28</f>
        <v>512370</v>
      </c>
      <c r="F23" s="60" t="s">
        <v>13</v>
      </c>
      <c r="G23" s="60">
        <f>G25+G26+G27+G28</f>
        <v>516548</v>
      </c>
      <c r="H23" s="60">
        <f>H25+H26+H27+H28</f>
        <v>0</v>
      </c>
      <c r="I23" s="60">
        <f>I25+I26+I27+I28</f>
        <v>91776</v>
      </c>
    </row>
    <row r="24" spans="1:9" ht="21.75" customHeight="1">
      <c r="A24" s="9"/>
      <c r="B24" s="26" t="s">
        <v>4</v>
      </c>
      <c r="C24" s="26"/>
      <c r="D24" s="58"/>
      <c r="E24" s="58"/>
      <c r="F24" s="58"/>
      <c r="G24" s="58"/>
      <c r="H24" s="58"/>
      <c r="I24" s="58"/>
    </row>
    <row r="25" spans="1:9" ht="21.75" customHeight="1">
      <c r="A25" s="9"/>
      <c r="B25" s="27" t="s">
        <v>133</v>
      </c>
      <c r="C25" s="27">
        <v>801</v>
      </c>
      <c r="D25" s="58">
        <v>25011</v>
      </c>
      <c r="E25" s="58">
        <v>110766</v>
      </c>
      <c r="F25" s="58" t="s">
        <v>13</v>
      </c>
      <c r="G25" s="58">
        <v>110766</v>
      </c>
      <c r="H25" s="58">
        <v>0</v>
      </c>
      <c r="I25" s="58">
        <v>25011</v>
      </c>
    </row>
    <row r="26" spans="1:9" ht="21.75" customHeight="1">
      <c r="A26" s="9"/>
      <c r="B26" s="27" t="s">
        <v>134</v>
      </c>
      <c r="C26" s="27">
        <v>801</v>
      </c>
      <c r="D26" s="58">
        <v>1165</v>
      </c>
      <c r="E26" s="58">
        <v>6000</v>
      </c>
      <c r="F26" s="58" t="s">
        <v>13</v>
      </c>
      <c r="G26" s="58">
        <v>6000</v>
      </c>
      <c r="H26" s="58">
        <v>0</v>
      </c>
      <c r="I26" s="58">
        <v>1165</v>
      </c>
    </row>
    <row r="27" spans="1:9" ht="21.75" customHeight="1">
      <c r="A27" s="9"/>
      <c r="B27" s="27" t="s">
        <v>135</v>
      </c>
      <c r="C27" s="27">
        <v>801</v>
      </c>
      <c r="D27" s="58">
        <v>7178</v>
      </c>
      <c r="E27" s="58">
        <v>20000</v>
      </c>
      <c r="F27" s="58" t="s">
        <v>13</v>
      </c>
      <c r="G27" s="58">
        <v>24178</v>
      </c>
      <c r="H27" s="58">
        <v>0</v>
      </c>
      <c r="I27" s="58">
        <f>D27+E27-G27</f>
        <v>3000</v>
      </c>
    </row>
    <row r="28" spans="1:9" ht="21.75" customHeight="1">
      <c r="A28" s="10"/>
      <c r="B28" s="28" t="s">
        <v>136</v>
      </c>
      <c r="C28" s="28">
        <v>854</v>
      </c>
      <c r="D28" s="59">
        <v>62600</v>
      </c>
      <c r="E28" s="59">
        <v>375604</v>
      </c>
      <c r="F28" s="59" t="s">
        <v>13</v>
      </c>
      <c r="G28" s="59">
        <v>375604</v>
      </c>
      <c r="H28" s="59">
        <v>0</v>
      </c>
      <c r="I28" s="59">
        <f>D28+E28-G28</f>
        <v>62600</v>
      </c>
    </row>
    <row r="29" spans="1:10" s="15" customFormat="1" ht="21.75" customHeight="1">
      <c r="A29" s="128" t="s">
        <v>31</v>
      </c>
      <c r="B29" s="128"/>
      <c r="C29" s="16"/>
      <c r="D29" s="61">
        <f>D23+D16</f>
        <v>149321</v>
      </c>
      <c r="E29" s="61">
        <f>E23+E16</f>
        <v>4417296</v>
      </c>
      <c r="F29" s="61">
        <f>F16</f>
        <v>2510566</v>
      </c>
      <c r="G29" s="61">
        <f>G23+G16</f>
        <v>4414176</v>
      </c>
      <c r="H29" s="61">
        <f>H23+H16</f>
        <v>0</v>
      </c>
      <c r="I29" s="61">
        <f>I23+I16</f>
        <v>152441</v>
      </c>
      <c r="J29" s="71"/>
    </row>
    <row r="30" ht="4.5" customHeight="1"/>
    <row r="31" ht="12.75">
      <c r="I31" t="s">
        <v>220</v>
      </c>
    </row>
    <row r="32" ht="12.75">
      <c r="I32" t="s">
        <v>221</v>
      </c>
    </row>
    <row r="34" ht="12.75">
      <c r="I34" t="s">
        <v>222</v>
      </c>
    </row>
  </sheetData>
  <mergeCells count="15">
    <mergeCell ref="G1:I5"/>
    <mergeCell ref="A7:I7"/>
    <mergeCell ref="A8:I8"/>
    <mergeCell ref="A11:A14"/>
    <mergeCell ref="B11:B14"/>
    <mergeCell ref="D11:D14"/>
    <mergeCell ref="E12:E14"/>
    <mergeCell ref="F12:F14"/>
    <mergeCell ref="G12:G14"/>
    <mergeCell ref="H12:H14"/>
    <mergeCell ref="I11:I14"/>
    <mergeCell ref="A29:B29"/>
    <mergeCell ref="E11:F11"/>
    <mergeCell ref="G11:H11"/>
    <mergeCell ref="C11:C14"/>
  </mergeCells>
  <printOptions horizontalCentered="1"/>
  <pageMargins left="0.38" right="0.34" top="1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20" sqref="F20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5:6" ht="12.75">
      <c r="E1" s="127" t="s">
        <v>227</v>
      </c>
      <c r="F1" s="127"/>
    </row>
    <row r="2" spans="5:6" ht="12.75">
      <c r="E2" s="127"/>
      <c r="F2" s="127"/>
    </row>
    <row r="3" spans="5:6" ht="12.75">
      <c r="E3" s="127"/>
      <c r="F3" s="127"/>
    </row>
    <row r="4" spans="5:6" ht="12.75">
      <c r="E4" s="127"/>
      <c r="F4" s="127"/>
    </row>
    <row r="6" spans="1:6" ht="19.5" customHeight="1">
      <c r="A6" s="96" t="s">
        <v>170</v>
      </c>
      <c r="B6" s="96"/>
      <c r="C6" s="96"/>
      <c r="D6" s="96"/>
      <c r="E6" s="96"/>
      <c r="F6" s="96"/>
    </row>
    <row r="7" spans="4:6" ht="19.5" customHeight="1">
      <c r="D7" s="17"/>
      <c r="E7" s="17"/>
      <c r="F7" s="17"/>
    </row>
    <row r="8" spans="4:6" ht="19.5" customHeight="1">
      <c r="D8" s="1"/>
      <c r="E8" s="1"/>
      <c r="F8" s="29" t="s">
        <v>12</v>
      </c>
    </row>
    <row r="9" spans="1:6" ht="19.5" customHeight="1">
      <c r="A9" s="114" t="s">
        <v>15</v>
      </c>
      <c r="B9" s="114" t="s">
        <v>1</v>
      </c>
      <c r="C9" s="114" t="s">
        <v>2</v>
      </c>
      <c r="D9" s="115" t="s">
        <v>70</v>
      </c>
      <c r="E9" s="115" t="s">
        <v>71</v>
      </c>
      <c r="F9" s="115" t="s">
        <v>72</v>
      </c>
    </row>
    <row r="10" spans="1:6" ht="19.5" customHeight="1">
      <c r="A10" s="114"/>
      <c r="B10" s="114"/>
      <c r="C10" s="114"/>
      <c r="D10" s="115"/>
      <c r="E10" s="115"/>
      <c r="F10" s="115"/>
    </row>
    <row r="11" spans="1:6" ht="19.5" customHeight="1">
      <c r="A11" s="114"/>
      <c r="B11" s="114"/>
      <c r="C11" s="114"/>
      <c r="D11" s="115"/>
      <c r="E11" s="115"/>
      <c r="F11" s="115"/>
    </row>
    <row r="12" spans="1:6" ht="7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42.75" customHeight="1">
      <c r="A13" s="30" t="s">
        <v>5</v>
      </c>
      <c r="B13" s="24">
        <v>801</v>
      </c>
      <c r="C13" s="24">
        <v>80104</v>
      </c>
      <c r="D13" s="62" t="s">
        <v>139</v>
      </c>
      <c r="E13" s="63" t="s">
        <v>140</v>
      </c>
      <c r="F13" s="64">
        <f>1800000+5566</f>
        <v>1805566</v>
      </c>
    </row>
    <row r="14" spans="1:6" ht="40.5" customHeight="1">
      <c r="A14" s="30" t="s">
        <v>6</v>
      </c>
      <c r="B14" s="24">
        <v>926</v>
      </c>
      <c r="C14" s="24">
        <v>92604</v>
      </c>
      <c r="D14" s="63" t="s">
        <v>141</v>
      </c>
      <c r="E14" s="63" t="s">
        <v>142</v>
      </c>
      <c r="F14" s="64">
        <f>640000</f>
        <v>640000</v>
      </c>
    </row>
    <row r="15" spans="1:6" s="1" customFormat="1" ht="30" customHeight="1">
      <c r="A15" s="132" t="s">
        <v>31</v>
      </c>
      <c r="B15" s="133"/>
      <c r="C15" s="133"/>
      <c r="D15" s="95"/>
      <c r="E15" s="30"/>
      <c r="F15" s="61">
        <f>F14+F13</f>
        <v>2445566</v>
      </c>
    </row>
    <row r="17" ht="12.75">
      <c r="F17" t="s">
        <v>228</v>
      </c>
    </row>
    <row r="18" ht="12.75">
      <c r="F18" t="s">
        <v>221</v>
      </c>
    </row>
    <row r="20" ht="12.75">
      <c r="F20" t="s">
        <v>222</v>
      </c>
    </row>
  </sheetData>
  <mergeCells count="9">
    <mergeCell ref="E1:F4"/>
    <mergeCell ref="A15:D15"/>
    <mergeCell ref="A6:F6"/>
    <mergeCell ref="F9:F11"/>
    <mergeCell ref="D9:D11"/>
    <mergeCell ref="E9:E11"/>
    <mergeCell ref="A9:A11"/>
    <mergeCell ref="B9:B11"/>
    <mergeCell ref="C9:C11"/>
  </mergeCells>
  <printOptions horizontalCentered="1"/>
  <pageMargins left="0.3937007874015748" right="0.3937007874015748" top="0.76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D17">
      <selection activeCell="F25" sqref="F25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0.25390625" style="0" customWidth="1"/>
    <col min="5" max="5" width="30.125" style="0" customWidth="1"/>
    <col min="6" max="6" width="19.00390625" style="0" customWidth="1"/>
  </cols>
  <sheetData>
    <row r="1" spans="5:6" ht="12.75">
      <c r="E1" s="127" t="s">
        <v>229</v>
      </c>
      <c r="F1" s="127"/>
    </row>
    <row r="2" spans="5:6" ht="12.75">
      <c r="E2" s="127"/>
      <c r="F2" s="127"/>
    </row>
    <row r="3" spans="5:6" ht="12.75">
      <c r="E3" s="127"/>
      <c r="F3" s="127"/>
    </row>
    <row r="4" spans="5:6" ht="12.75">
      <c r="E4" s="127"/>
      <c r="F4" s="127"/>
    </row>
    <row r="6" spans="1:6" ht="48.75" customHeight="1">
      <c r="A6" s="98" t="s">
        <v>171</v>
      </c>
      <c r="B6" s="98"/>
      <c r="C6" s="98"/>
      <c r="D6" s="98"/>
      <c r="E6" s="98"/>
      <c r="F6" s="98"/>
    </row>
    <row r="7" spans="4:5" ht="19.5" customHeight="1">
      <c r="D7" s="1"/>
      <c r="E7" s="3" t="s">
        <v>12</v>
      </c>
    </row>
    <row r="8" spans="1:6" ht="19.5" customHeight="1">
      <c r="A8" s="19" t="s">
        <v>15</v>
      </c>
      <c r="B8" s="19" t="s">
        <v>1</v>
      </c>
      <c r="C8" s="19" t="s">
        <v>2</v>
      </c>
      <c r="D8" s="19" t="s">
        <v>55</v>
      </c>
      <c r="E8" s="19" t="s">
        <v>80</v>
      </c>
      <c r="F8" s="19" t="s">
        <v>73</v>
      </c>
    </row>
    <row r="9" spans="1:6" s="33" customFormat="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5</v>
      </c>
    </row>
    <row r="10" spans="1:6" s="75" customFormat="1" ht="16.5" customHeight="1">
      <c r="A10" s="32">
        <v>1</v>
      </c>
      <c r="B10" s="76" t="s">
        <v>81</v>
      </c>
      <c r="C10" s="76" t="s">
        <v>162</v>
      </c>
      <c r="D10" s="65" t="s">
        <v>179</v>
      </c>
      <c r="E10" s="32" t="s">
        <v>180</v>
      </c>
      <c r="F10" s="64">
        <v>100000</v>
      </c>
    </row>
    <row r="11" spans="1:6" s="75" customFormat="1" ht="51.75" customHeight="1">
      <c r="A11" s="32">
        <v>2</v>
      </c>
      <c r="B11" s="76" t="s">
        <v>81</v>
      </c>
      <c r="C11" s="76" t="s">
        <v>162</v>
      </c>
      <c r="D11" s="65" t="s">
        <v>181</v>
      </c>
      <c r="E11" s="32" t="s">
        <v>180</v>
      </c>
      <c r="F11" s="64">
        <v>200000</v>
      </c>
    </row>
    <row r="12" spans="1:6" s="75" customFormat="1" ht="51.75" customHeight="1">
      <c r="A12" s="32">
        <v>3</v>
      </c>
      <c r="B12" s="76" t="s">
        <v>83</v>
      </c>
      <c r="C12" s="76" t="s">
        <v>85</v>
      </c>
      <c r="D12" s="65" t="s">
        <v>194</v>
      </c>
      <c r="E12" s="32" t="s">
        <v>209</v>
      </c>
      <c r="F12" s="64">
        <v>40000</v>
      </c>
    </row>
    <row r="13" spans="1:6" ht="43.5" customHeight="1">
      <c r="A13" s="32">
        <v>4</v>
      </c>
      <c r="B13" s="32">
        <v>851</v>
      </c>
      <c r="C13" s="32">
        <v>85121</v>
      </c>
      <c r="D13" s="63" t="s">
        <v>216</v>
      </c>
      <c r="E13" s="73" t="s">
        <v>143</v>
      </c>
      <c r="F13" s="64">
        <v>20000</v>
      </c>
    </row>
    <row r="14" spans="1:6" ht="43.5" customHeight="1">
      <c r="A14" s="32">
        <v>5</v>
      </c>
      <c r="B14" s="32">
        <v>851</v>
      </c>
      <c r="C14" s="32">
        <v>85121</v>
      </c>
      <c r="D14" s="63" t="s">
        <v>192</v>
      </c>
      <c r="E14" s="73" t="s">
        <v>143</v>
      </c>
      <c r="F14" s="64">
        <v>40000</v>
      </c>
    </row>
    <row r="15" spans="1:6" ht="55.5" customHeight="1">
      <c r="A15" s="32">
        <v>6</v>
      </c>
      <c r="B15" s="32">
        <v>851</v>
      </c>
      <c r="C15" s="32">
        <v>85154</v>
      </c>
      <c r="D15" s="65" t="s">
        <v>144</v>
      </c>
      <c r="E15" s="32" t="s">
        <v>146</v>
      </c>
      <c r="F15" s="64">
        <v>45000</v>
      </c>
    </row>
    <row r="16" spans="1:6" ht="94.5" customHeight="1">
      <c r="A16" s="32">
        <v>7</v>
      </c>
      <c r="B16" s="32">
        <v>851</v>
      </c>
      <c r="C16" s="32">
        <v>85154</v>
      </c>
      <c r="D16" s="65" t="s">
        <v>145</v>
      </c>
      <c r="E16" s="32" t="s">
        <v>146</v>
      </c>
      <c r="F16" s="64">
        <v>10000</v>
      </c>
    </row>
    <row r="17" spans="1:6" ht="58.5" customHeight="1">
      <c r="A17" s="32">
        <v>8</v>
      </c>
      <c r="B17" s="32">
        <v>926</v>
      </c>
      <c r="C17" s="32">
        <v>92604</v>
      </c>
      <c r="D17" s="63" t="s">
        <v>164</v>
      </c>
      <c r="E17" s="32" t="s">
        <v>146</v>
      </c>
      <c r="F17" s="64">
        <v>130000</v>
      </c>
    </row>
    <row r="18" spans="1:6" ht="48.75" customHeight="1">
      <c r="A18" s="32">
        <v>9</v>
      </c>
      <c r="B18" s="32">
        <v>926</v>
      </c>
      <c r="C18" s="32">
        <v>92604</v>
      </c>
      <c r="D18" s="63" t="s">
        <v>218</v>
      </c>
      <c r="E18" s="73" t="s">
        <v>141</v>
      </c>
      <c r="F18" s="64">
        <v>20000</v>
      </c>
    </row>
    <row r="19" spans="1:6" ht="49.5" customHeight="1">
      <c r="A19" s="32">
        <v>10</v>
      </c>
      <c r="B19" s="32">
        <v>926</v>
      </c>
      <c r="C19" s="32">
        <v>92604</v>
      </c>
      <c r="D19" s="63" t="s">
        <v>215</v>
      </c>
      <c r="E19" s="73" t="s">
        <v>141</v>
      </c>
      <c r="F19" s="64">
        <v>45000</v>
      </c>
    </row>
    <row r="20" spans="1:6" ht="30" customHeight="1">
      <c r="A20" s="97" t="s">
        <v>31</v>
      </c>
      <c r="B20" s="97"/>
      <c r="C20" s="97"/>
      <c r="D20" s="97"/>
      <c r="E20" s="30"/>
      <c r="F20" s="61">
        <f>F17+F16+F15+F13+F11+F10+F14+F18+F12+F19</f>
        <v>650000</v>
      </c>
    </row>
    <row r="22" s="34" customFormat="1" ht="12.75">
      <c r="F22" s="34" t="s">
        <v>220</v>
      </c>
    </row>
    <row r="23" s="35" customFormat="1" ht="12.75">
      <c r="F23" s="35" t="s">
        <v>221</v>
      </c>
    </row>
    <row r="25" ht="12.75">
      <c r="F25" t="s">
        <v>222</v>
      </c>
    </row>
  </sheetData>
  <mergeCells count="3">
    <mergeCell ref="A20:D20"/>
    <mergeCell ref="E1:F4"/>
    <mergeCell ref="A6:F6"/>
  </mergeCells>
  <printOptions horizontalCentered="1"/>
  <pageMargins left="0.3937007874015748" right="0.3937007874015748" top="0.3" bottom="0.25" header="0.24" footer="0.17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21">
      <selection activeCell="C32" sqref="C3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4" width="9.625" style="1" bestFit="1" customWidth="1"/>
    <col min="5" max="16384" width="9.125" style="1" customWidth="1"/>
  </cols>
  <sheetData>
    <row r="1" spans="3:4" ht="12.75" customHeight="1">
      <c r="C1" s="122" t="s">
        <v>230</v>
      </c>
      <c r="D1" s="122"/>
    </row>
    <row r="2" spans="3:4" ht="12.75">
      <c r="C2" s="122"/>
      <c r="D2" s="122"/>
    </row>
    <row r="3" spans="3:4" ht="12.75">
      <c r="C3" s="122"/>
      <c r="D3" s="122"/>
    </row>
    <row r="4" spans="3:4" ht="12.75">
      <c r="C4" s="122"/>
      <c r="D4" s="122"/>
    </row>
    <row r="5" spans="3:4" ht="12.75">
      <c r="C5" s="122"/>
      <c r="D5" s="122"/>
    </row>
    <row r="6" spans="3:4" ht="12.75">
      <c r="C6" s="122"/>
      <c r="D6" s="122"/>
    </row>
    <row r="7" spans="3:4" ht="12.75">
      <c r="C7" s="72"/>
      <c r="D7" s="72"/>
    </row>
    <row r="8" spans="1:10" ht="19.5" customHeight="1">
      <c r="A8" s="99" t="s">
        <v>42</v>
      </c>
      <c r="B8" s="99"/>
      <c r="C8" s="99"/>
      <c r="D8" s="99"/>
      <c r="E8" s="17"/>
      <c r="F8" s="17"/>
      <c r="G8" s="17"/>
      <c r="H8" s="17"/>
      <c r="I8" s="17"/>
      <c r="J8" s="17"/>
    </row>
    <row r="9" spans="1:7" ht="19.5" customHeight="1">
      <c r="A9" s="99" t="s">
        <v>43</v>
      </c>
      <c r="B9" s="99"/>
      <c r="C9" s="99"/>
      <c r="D9" s="99"/>
      <c r="E9" s="17"/>
      <c r="F9" s="17"/>
      <c r="G9" s="17"/>
    </row>
    <row r="11" ht="12.75">
      <c r="C11" s="3" t="s">
        <v>12</v>
      </c>
    </row>
    <row r="12" spans="1:10" ht="19.5" customHeight="1">
      <c r="A12" s="19" t="s">
        <v>15</v>
      </c>
      <c r="B12" s="19" t="s">
        <v>44</v>
      </c>
      <c r="C12" s="19" t="s">
        <v>53</v>
      </c>
      <c r="D12" s="21"/>
      <c r="E12" s="21"/>
      <c r="F12" s="21"/>
      <c r="G12" s="21"/>
      <c r="H12" s="21"/>
      <c r="I12" s="22"/>
      <c r="J12" s="22"/>
    </row>
    <row r="13" spans="1:10" ht="19.5" customHeight="1">
      <c r="A13" s="23" t="s">
        <v>45</v>
      </c>
      <c r="B13" s="18" t="s">
        <v>46</v>
      </c>
      <c r="C13" s="66">
        <v>169630</v>
      </c>
      <c r="D13" s="21"/>
      <c r="E13" s="21"/>
      <c r="F13" s="21"/>
      <c r="G13" s="21"/>
      <c r="H13" s="21"/>
      <c r="I13" s="22"/>
      <c r="J13" s="22"/>
    </row>
    <row r="14" spans="1:10" ht="19.5" customHeight="1">
      <c r="A14" s="23" t="s">
        <v>47</v>
      </c>
      <c r="B14" s="18" t="s">
        <v>48</v>
      </c>
      <c r="C14" s="66">
        <f>C15+C16+C18+C17</f>
        <v>220526</v>
      </c>
      <c r="D14" s="21"/>
      <c r="E14" s="21"/>
      <c r="F14" s="21"/>
      <c r="G14" s="21"/>
      <c r="H14" s="21"/>
      <c r="I14" s="22"/>
      <c r="J14" s="22"/>
    </row>
    <row r="15" spans="1:10" ht="19.5" customHeight="1">
      <c r="A15" s="67">
        <v>1</v>
      </c>
      <c r="B15" s="69" t="s">
        <v>147</v>
      </c>
      <c r="C15" s="68">
        <v>1000</v>
      </c>
      <c r="D15" s="21"/>
      <c r="E15" s="21"/>
      <c r="F15" s="21"/>
      <c r="G15" s="21"/>
      <c r="H15" s="21"/>
      <c r="I15" s="22"/>
      <c r="J15" s="22"/>
    </row>
    <row r="16" spans="1:10" ht="27" customHeight="1">
      <c r="A16" s="67">
        <v>2</v>
      </c>
      <c r="B16" s="65" t="s">
        <v>148</v>
      </c>
      <c r="C16" s="68">
        <v>3000</v>
      </c>
      <c r="D16" s="21"/>
      <c r="E16" s="21"/>
      <c r="F16" s="21"/>
      <c r="G16" s="21"/>
      <c r="H16" s="21"/>
      <c r="I16" s="22"/>
      <c r="J16" s="22"/>
    </row>
    <row r="17" spans="1:10" ht="19.5" customHeight="1">
      <c r="A17" s="67">
        <v>3</v>
      </c>
      <c r="B17" s="69" t="s">
        <v>149</v>
      </c>
      <c r="C17" s="68">
        <f>168000+45526</f>
        <v>213526</v>
      </c>
      <c r="D17" s="21"/>
      <c r="E17" s="21"/>
      <c r="F17" s="21"/>
      <c r="G17" s="21"/>
      <c r="H17" s="21"/>
      <c r="I17" s="22"/>
      <c r="J17" s="22"/>
    </row>
    <row r="18" spans="1:10" ht="19.5" customHeight="1">
      <c r="A18" s="67">
        <v>4</v>
      </c>
      <c r="B18" s="69" t="s">
        <v>150</v>
      </c>
      <c r="C18" s="68">
        <v>3000</v>
      </c>
      <c r="D18" s="21"/>
      <c r="E18" s="21"/>
      <c r="F18" s="21"/>
      <c r="G18" s="21"/>
      <c r="H18" s="21"/>
      <c r="I18" s="22"/>
      <c r="J18" s="22"/>
    </row>
    <row r="19" spans="1:10" ht="19.5" customHeight="1">
      <c r="A19" s="23" t="s">
        <v>49</v>
      </c>
      <c r="B19" s="18" t="s">
        <v>50</v>
      </c>
      <c r="C19" s="66">
        <f>C20+C25</f>
        <v>374156</v>
      </c>
      <c r="D19" s="92"/>
      <c r="E19" s="21"/>
      <c r="F19" s="21"/>
      <c r="G19" s="21"/>
      <c r="H19" s="21"/>
      <c r="I19" s="22"/>
      <c r="J19" s="22"/>
    </row>
    <row r="20" spans="1:10" ht="19.5" customHeight="1">
      <c r="A20" s="16" t="s">
        <v>5</v>
      </c>
      <c r="B20" s="70" t="s">
        <v>9</v>
      </c>
      <c r="C20" s="61">
        <f>C21+C22+C24+C23</f>
        <v>165600</v>
      </c>
      <c r="D20" s="21"/>
      <c r="E20" s="21"/>
      <c r="F20" s="21"/>
      <c r="G20" s="21"/>
      <c r="H20" s="21"/>
      <c r="I20" s="22"/>
      <c r="J20" s="22"/>
    </row>
    <row r="21" spans="1:10" ht="17.25" customHeight="1">
      <c r="A21" s="32">
        <v>1</v>
      </c>
      <c r="B21" s="69" t="s">
        <v>166</v>
      </c>
      <c r="C21" s="64">
        <v>10000</v>
      </c>
      <c r="D21" s="21"/>
      <c r="E21" s="21"/>
      <c r="F21" s="21"/>
      <c r="G21" s="21"/>
      <c r="H21" s="21"/>
      <c r="I21" s="22"/>
      <c r="J21" s="22"/>
    </row>
    <row r="22" spans="1:10" ht="15" customHeight="1">
      <c r="A22" s="32">
        <v>2</v>
      </c>
      <c r="B22" s="69" t="s">
        <v>151</v>
      </c>
      <c r="C22" s="64">
        <v>53600</v>
      </c>
      <c r="D22" s="21"/>
      <c r="E22" s="21"/>
      <c r="F22" s="21"/>
      <c r="G22" s="21"/>
      <c r="H22" s="21"/>
      <c r="I22" s="22"/>
      <c r="J22" s="22"/>
    </row>
    <row r="23" spans="1:10" ht="15" customHeight="1">
      <c r="A23" s="32">
        <v>3</v>
      </c>
      <c r="B23" s="69" t="s">
        <v>205</v>
      </c>
      <c r="C23" s="64">
        <f>12000+9000</f>
        <v>21000</v>
      </c>
      <c r="D23" s="21"/>
      <c r="E23" s="21"/>
      <c r="F23" s="21"/>
      <c r="G23" s="21"/>
      <c r="H23" s="21"/>
      <c r="I23" s="22"/>
      <c r="J23" s="22"/>
    </row>
    <row r="24" spans="1:10" ht="15" customHeight="1">
      <c r="A24" s="32">
        <v>4</v>
      </c>
      <c r="B24" s="69" t="s">
        <v>152</v>
      </c>
      <c r="C24" s="64">
        <v>81000</v>
      </c>
      <c r="D24" s="21"/>
      <c r="E24" s="21"/>
      <c r="F24" s="21"/>
      <c r="G24" s="21"/>
      <c r="H24" s="21"/>
      <c r="I24" s="22"/>
      <c r="J24" s="22"/>
    </row>
    <row r="25" spans="1:10" ht="19.5" customHeight="1">
      <c r="A25" s="16" t="s">
        <v>6</v>
      </c>
      <c r="B25" s="70" t="s">
        <v>10</v>
      </c>
      <c r="C25" s="61">
        <f>C26</f>
        <v>208556</v>
      </c>
      <c r="D25" s="21"/>
      <c r="E25" s="21"/>
      <c r="F25" s="21"/>
      <c r="G25" s="21"/>
      <c r="H25" s="21"/>
      <c r="I25" s="22"/>
      <c r="J25" s="22"/>
    </row>
    <row r="26" spans="1:10" ht="15">
      <c r="A26" s="32">
        <v>1</v>
      </c>
      <c r="B26" s="65" t="s">
        <v>153</v>
      </c>
      <c r="C26" s="64">
        <f>217556-9000</f>
        <v>208556</v>
      </c>
      <c r="D26" s="92"/>
      <c r="E26" s="21"/>
      <c r="F26" s="21"/>
      <c r="G26" s="21"/>
      <c r="H26" s="21"/>
      <c r="I26" s="22"/>
      <c r="J26" s="22"/>
    </row>
    <row r="27" spans="1:10" ht="15" customHeight="1">
      <c r="A27" s="23" t="s">
        <v>51</v>
      </c>
      <c r="B27" s="18" t="s">
        <v>52</v>
      </c>
      <c r="C27" s="66">
        <f>C13+C14-C19</f>
        <v>16000</v>
      </c>
      <c r="D27" s="21"/>
      <c r="E27" s="21"/>
      <c r="F27" s="21"/>
      <c r="G27" s="21"/>
      <c r="H27" s="21"/>
      <c r="I27" s="22"/>
      <c r="J27" s="22"/>
    </row>
    <row r="28" spans="1:10" ht="15">
      <c r="A28" s="21"/>
      <c r="B28" s="21"/>
      <c r="C28" s="21"/>
      <c r="D28" s="21"/>
      <c r="E28" s="21"/>
      <c r="F28" s="21"/>
      <c r="G28" s="21"/>
      <c r="H28" s="21"/>
      <c r="I28" s="22"/>
      <c r="J28" s="22"/>
    </row>
    <row r="29" spans="1:10" ht="15">
      <c r="A29" s="21"/>
      <c r="B29" s="21"/>
      <c r="C29" s="92" t="s">
        <v>220</v>
      </c>
      <c r="D29" s="21"/>
      <c r="E29" s="21"/>
      <c r="F29" s="21"/>
      <c r="G29" s="21"/>
      <c r="H29" s="21"/>
      <c r="I29" s="22"/>
      <c r="J29" s="22"/>
    </row>
    <row r="30" spans="1:10" ht="15">
      <c r="A30" s="21"/>
      <c r="B30" s="21"/>
      <c r="C30" s="21" t="s">
        <v>221</v>
      </c>
      <c r="D30" s="21"/>
      <c r="E30" s="21"/>
      <c r="F30" s="21"/>
      <c r="G30" s="21"/>
      <c r="H30" s="21"/>
      <c r="I30" s="22"/>
      <c r="J30" s="22"/>
    </row>
    <row r="31" spans="1:10" ht="15">
      <c r="A31" s="21"/>
      <c r="B31" s="21"/>
      <c r="C31" s="21"/>
      <c r="D31" s="21"/>
      <c r="E31" s="21"/>
      <c r="F31" s="21"/>
      <c r="G31" s="21"/>
      <c r="H31" s="21"/>
      <c r="I31" s="22"/>
      <c r="J31" s="22"/>
    </row>
    <row r="32" spans="1:10" ht="15">
      <c r="A32" s="21"/>
      <c r="B32" s="21"/>
      <c r="C32" s="21" t="s">
        <v>222</v>
      </c>
      <c r="D32" s="21"/>
      <c r="E32" s="21"/>
      <c r="F32" s="21"/>
      <c r="G32" s="21"/>
      <c r="H32" s="21"/>
      <c r="I32" s="22"/>
      <c r="J32" s="22"/>
    </row>
    <row r="33" spans="1:10" ht="15">
      <c r="A33" s="21"/>
      <c r="B33" s="21"/>
      <c r="C33" s="21"/>
      <c r="D33" s="21"/>
      <c r="E33" s="21"/>
      <c r="F33" s="21"/>
      <c r="G33" s="21"/>
      <c r="H33" s="21"/>
      <c r="I33" s="22"/>
      <c r="J33" s="22"/>
    </row>
    <row r="34" spans="1:10" ht="1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5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 ht="15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 ht="15">
      <c r="A37" s="22"/>
      <c r="B37" s="22"/>
      <c r="C37" s="22"/>
      <c r="D37" s="22"/>
      <c r="E37" s="22"/>
      <c r="F37" s="22"/>
      <c r="G37" s="22"/>
      <c r="H37" s="22"/>
      <c r="I37" s="22"/>
      <c r="J37" s="22"/>
    </row>
  </sheetData>
  <mergeCells count="3">
    <mergeCell ref="C1:D6"/>
    <mergeCell ref="A8:D8"/>
    <mergeCell ref="A9:D9"/>
  </mergeCells>
  <printOptions horizontalCentered="1"/>
  <pageMargins left="0.33" right="0.41" top="0.74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0"/>
  <sheetViews>
    <sheetView tabSelected="1" workbookViewId="0" topLeftCell="E1">
      <selection activeCell="I1" sqref="I1:M3"/>
    </sheetView>
  </sheetViews>
  <sheetFormatPr defaultColWidth="9.00390625" defaultRowHeight="12.75"/>
  <cols>
    <col min="1" max="1" width="20.375" style="1" customWidth="1"/>
    <col min="2" max="2" width="7.25390625" style="1" customWidth="1"/>
    <col min="3" max="3" width="9.00390625" style="1" customWidth="1"/>
    <col min="4" max="4" width="15.625" style="1" customWidth="1"/>
    <col min="5" max="5" width="7.625" style="25" customWidth="1"/>
    <col min="6" max="6" width="14.125" style="1" customWidth="1"/>
    <col min="7" max="7" width="14.375" style="1" customWidth="1"/>
    <col min="8" max="8" width="15.875" style="1" customWidth="1"/>
    <col min="9" max="9" width="14.625" style="0" customWidth="1"/>
    <col min="10" max="10" width="10.375" style="0" customWidth="1"/>
    <col min="11" max="11" width="13.625" style="0" customWidth="1"/>
    <col min="12" max="12" width="13.00390625" style="0" customWidth="1"/>
    <col min="13" max="13" width="15.75390625" style="0" customWidth="1"/>
    <col min="83" max="16384" width="9.125" style="1" customWidth="1"/>
  </cols>
  <sheetData>
    <row r="1" spans="9:13" ht="12.75" customHeight="1">
      <c r="I1" s="127" t="s">
        <v>231</v>
      </c>
      <c r="J1" s="127"/>
      <c r="K1" s="127"/>
      <c r="L1" s="127"/>
      <c r="M1" s="127"/>
    </row>
    <row r="2" spans="9:13" ht="12.75" customHeight="1">
      <c r="I2" s="127"/>
      <c r="J2" s="127"/>
      <c r="K2" s="127"/>
      <c r="L2" s="127"/>
      <c r="M2" s="127"/>
    </row>
    <row r="3" spans="9:13" ht="12.75">
      <c r="I3" s="127"/>
      <c r="J3" s="127"/>
      <c r="K3" s="127"/>
      <c r="L3" s="127"/>
      <c r="M3" s="127"/>
    </row>
    <row r="4" spans="9:13" ht="12.75">
      <c r="I4" s="74"/>
      <c r="J4" s="74"/>
      <c r="K4" s="74"/>
      <c r="L4" s="74"/>
      <c r="M4" s="74"/>
    </row>
    <row r="5" spans="1:13" ht="12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1:13" ht="45" customHeight="1">
      <c r="A6" s="129" t="s">
        <v>54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20"/>
    </row>
    <row r="8" ht="12.75">
      <c r="M8" s="14" t="s">
        <v>12</v>
      </c>
    </row>
    <row r="9" spans="1:82" ht="20.25" customHeight="1">
      <c r="A9" s="101" t="s">
        <v>55</v>
      </c>
      <c r="B9" s="114" t="s">
        <v>1</v>
      </c>
      <c r="C9" s="124" t="s">
        <v>2</v>
      </c>
      <c r="D9" s="115" t="s">
        <v>56</v>
      </c>
      <c r="E9" s="104" t="s">
        <v>3</v>
      </c>
      <c r="F9" s="115" t="s">
        <v>26</v>
      </c>
      <c r="G9" s="115" t="s">
        <v>20</v>
      </c>
      <c r="H9" s="115"/>
      <c r="I9" s="115"/>
      <c r="J9" s="115"/>
      <c r="K9" s="115"/>
      <c r="L9" s="115"/>
      <c r="M9" s="115"/>
      <c r="CA9" s="1"/>
      <c r="CB9" s="1"/>
      <c r="CC9" s="1"/>
      <c r="CD9" s="1"/>
    </row>
    <row r="10" spans="1:82" ht="18" customHeight="1">
      <c r="A10" s="102"/>
      <c r="B10" s="114"/>
      <c r="C10" s="125"/>
      <c r="D10" s="114"/>
      <c r="E10" s="105"/>
      <c r="F10" s="115"/>
      <c r="G10" s="115" t="s">
        <v>24</v>
      </c>
      <c r="H10" s="115" t="s">
        <v>4</v>
      </c>
      <c r="I10" s="115"/>
      <c r="J10" s="115"/>
      <c r="K10" s="115"/>
      <c r="L10" s="115"/>
      <c r="M10" s="115" t="s">
        <v>25</v>
      </c>
      <c r="CA10" s="1"/>
      <c r="CB10" s="1"/>
      <c r="CC10" s="1"/>
      <c r="CD10" s="1"/>
    </row>
    <row r="11" spans="1:82" ht="69" customHeight="1">
      <c r="A11" s="103"/>
      <c r="B11" s="114"/>
      <c r="C11" s="126"/>
      <c r="D11" s="114"/>
      <c r="E11" s="105"/>
      <c r="F11" s="115"/>
      <c r="G11" s="115"/>
      <c r="H11" s="5" t="s">
        <v>21</v>
      </c>
      <c r="I11" s="5" t="s">
        <v>22</v>
      </c>
      <c r="J11" s="5" t="s">
        <v>23</v>
      </c>
      <c r="K11" s="5" t="s">
        <v>57</v>
      </c>
      <c r="L11" s="5" t="s">
        <v>58</v>
      </c>
      <c r="M11" s="115"/>
      <c r="CA11" s="1"/>
      <c r="CB11" s="1"/>
      <c r="CC11" s="1"/>
      <c r="CD11" s="1"/>
    </row>
    <row r="12" spans="1:82" ht="8.2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  <c r="CA12" s="1"/>
      <c r="CB12" s="1"/>
      <c r="CC12" s="1"/>
      <c r="CD12" s="1"/>
    </row>
    <row r="13" spans="1:82" ht="50.25" customHeight="1">
      <c r="A13" s="134" t="s">
        <v>59</v>
      </c>
      <c r="B13" s="134"/>
      <c r="C13" s="134"/>
      <c r="D13" s="7">
        <f>D14+D15</f>
        <v>0</v>
      </c>
      <c r="E13" s="24" t="s">
        <v>99</v>
      </c>
      <c r="F13" s="87">
        <f>F14+F15+F16+F17+F18</f>
        <v>291000</v>
      </c>
      <c r="G13" s="87">
        <f aca="true" t="shared" si="0" ref="G13:M13">G14+G15+G16+G17+G18</f>
        <v>40000</v>
      </c>
      <c r="H13" s="87">
        <f t="shared" si="0"/>
        <v>0</v>
      </c>
      <c r="I13" s="87">
        <f t="shared" si="0"/>
        <v>0</v>
      </c>
      <c r="J13" s="87">
        <f t="shared" si="0"/>
        <v>40000</v>
      </c>
      <c r="K13" s="87">
        <f t="shared" si="0"/>
        <v>0</v>
      </c>
      <c r="L13" s="87">
        <f t="shared" si="0"/>
        <v>0</v>
      </c>
      <c r="M13" s="87">
        <f t="shared" si="0"/>
        <v>251000</v>
      </c>
      <c r="CA13" s="1"/>
      <c r="CB13" s="1"/>
      <c r="CC13" s="1"/>
      <c r="CD13" s="1"/>
    </row>
    <row r="14" spans="1:82" ht="57.75" customHeight="1">
      <c r="A14" s="31" t="s">
        <v>182</v>
      </c>
      <c r="B14" s="7">
        <v>600</v>
      </c>
      <c r="C14" s="7">
        <v>60013</v>
      </c>
      <c r="D14" s="7">
        <v>0</v>
      </c>
      <c r="E14" s="88">
        <v>6050</v>
      </c>
      <c r="F14" s="87">
        <f>200000-180000</f>
        <v>20000</v>
      </c>
      <c r="G14" s="87">
        <v>0</v>
      </c>
      <c r="H14" s="87">
        <v>0</v>
      </c>
      <c r="I14" s="87">
        <v>0</v>
      </c>
      <c r="J14" s="87">
        <v>0</v>
      </c>
      <c r="K14" s="87">
        <v>0</v>
      </c>
      <c r="L14" s="87">
        <v>0</v>
      </c>
      <c r="M14" s="87">
        <f>200000-180000</f>
        <v>20000</v>
      </c>
      <c r="CA14" s="1"/>
      <c r="CB14" s="1"/>
      <c r="CC14" s="1"/>
      <c r="CD14" s="1"/>
    </row>
    <row r="15" spans="1:82" ht="108.75" customHeight="1">
      <c r="A15" s="31" t="s">
        <v>183</v>
      </c>
      <c r="B15" s="7">
        <v>600</v>
      </c>
      <c r="C15" s="7">
        <v>60013</v>
      </c>
      <c r="D15" s="7">
        <v>0</v>
      </c>
      <c r="E15" s="88">
        <v>6050</v>
      </c>
      <c r="F15" s="87">
        <v>100000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100000</v>
      </c>
      <c r="CA15" s="1"/>
      <c r="CB15" s="1"/>
      <c r="CC15" s="1"/>
      <c r="CD15" s="1"/>
    </row>
    <row r="16" spans="1:82" ht="108.75" customHeight="1">
      <c r="A16" s="31" t="s">
        <v>203</v>
      </c>
      <c r="B16" s="7">
        <v>600</v>
      </c>
      <c r="C16" s="7">
        <v>60013</v>
      </c>
      <c r="D16" s="7">
        <v>0</v>
      </c>
      <c r="E16" s="88">
        <v>6630</v>
      </c>
      <c r="F16" s="87">
        <v>40000</v>
      </c>
      <c r="G16" s="87">
        <v>40000</v>
      </c>
      <c r="H16" s="87">
        <v>0</v>
      </c>
      <c r="I16" s="87">
        <v>0</v>
      </c>
      <c r="J16" s="87">
        <v>40000</v>
      </c>
      <c r="K16" s="87">
        <v>0</v>
      </c>
      <c r="L16" s="87">
        <v>0</v>
      </c>
      <c r="M16" s="87"/>
      <c r="CA16" s="1"/>
      <c r="CB16" s="1"/>
      <c r="CC16" s="1"/>
      <c r="CD16" s="1"/>
    </row>
    <row r="17" spans="1:82" ht="44.25" customHeight="1">
      <c r="A17" s="31" t="s">
        <v>195</v>
      </c>
      <c r="B17" s="7">
        <v>600</v>
      </c>
      <c r="C17" s="7">
        <v>60013</v>
      </c>
      <c r="D17" s="7">
        <v>0</v>
      </c>
      <c r="E17" s="88">
        <v>6050</v>
      </c>
      <c r="F17" s="87">
        <v>80000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80000</v>
      </c>
      <c r="CA17" s="1"/>
      <c r="CB17" s="1"/>
      <c r="CC17" s="1"/>
      <c r="CD17" s="1"/>
    </row>
    <row r="18" spans="1:82" ht="108.75" customHeight="1">
      <c r="A18" s="31" t="s">
        <v>204</v>
      </c>
      <c r="B18" s="7">
        <v>600</v>
      </c>
      <c r="C18" s="7">
        <v>60016</v>
      </c>
      <c r="D18" s="7">
        <v>0</v>
      </c>
      <c r="E18" s="88">
        <v>6050</v>
      </c>
      <c r="F18" s="87">
        <v>51000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51000</v>
      </c>
      <c r="CA18" s="1"/>
      <c r="CB18" s="1"/>
      <c r="CC18" s="1"/>
      <c r="CD18" s="1"/>
    </row>
    <row r="19" spans="1:82" ht="51.75" customHeight="1">
      <c r="A19" s="134" t="s">
        <v>60</v>
      </c>
      <c r="B19" s="134"/>
      <c r="C19" s="134"/>
      <c r="D19" s="87">
        <f>D20</f>
        <v>2000</v>
      </c>
      <c r="E19" s="88" t="s">
        <v>99</v>
      </c>
      <c r="F19" s="93">
        <f>F20</f>
        <v>2000</v>
      </c>
      <c r="G19" s="93">
        <f>G20</f>
        <v>2000</v>
      </c>
      <c r="H19" s="93">
        <f>H20</f>
        <v>2000</v>
      </c>
      <c r="I19" s="90"/>
      <c r="J19" s="90"/>
      <c r="K19" s="90"/>
      <c r="L19" s="90"/>
      <c r="M19" s="90"/>
      <c r="CA19" s="1"/>
      <c r="CB19" s="1"/>
      <c r="CC19" s="1"/>
      <c r="CD19" s="1"/>
    </row>
    <row r="20" spans="1:82" ht="72.75" customHeight="1">
      <c r="A20" s="31" t="s">
        <v>214</v>
      </c>
      <c r="B20" s="7">
        <v>710</v>
      </c>
      <c r="C20" s="7">
        <v>71004</v>
      </c>
      <c r="D20" s="87">
        <v>2000</v>
      </c>
      <c r="E20" s="89">
        <v>4210</v>
      </c>
      <c r="F20" s="93">
        <v>2000</v>
      </c>
      <c r="G20" s="93">
        <v>2000</v>
      </c>
      <c r="H20" s="93">
        <v>2000</v>
      </c>
      <c r="I20" s="90"/>
      <c r="J20" s="90"/>
      <c r="K20" s="90"/>
      <c r="L20" s="90"/>
      <c r="M20" s="90"/>
      <c r="CA20" s="1"/>
      <c r="CB20" s="1"/>
      <c r="CC20" s="1"/>
      <c r="CD20" s="1"/>
    </row>
    <row r="21" spans="1:82" ht="19.5" customHeight="1">
      <c r="A21" s="7"/>
      <c r="B21" s="7"/>
      <c r="C21" s="7"/>
      <c r="D21" s="7"/>
      <c r="E21" s="89"/>
      <c r="F21" s="94"/>
      <c r="G21" s="94"/>
      <c r="H21" s="94"/>
      <c r="I21" s="90"/>
      <c r="J21" s="90"/>
      <c r="K21" s="90"/>
      <c r="L21" s="90"/>
      <c r="M21" s="90"/>
      <c r="CA21" s="1"/>
      <c r="CB21" s="1"/>
      <c r="CC21" s="1"/>
      <c r="CD21" s="1"/>
    </row>
    <row r="22" spans="1:82" ht="51.75" customHeight="1">
      <c r="A22" s="134" t="s">
        <v>61</v>
      </c>
      <c r="B22" s="134"/>
      <c r="C22" s="134"/>
      <c r="D22" s="87">
        <f>D23</f>
        <v>20000</v>
      </c>
      <c r="E22" s="88" t="s">
        <v>99</v>
      </c>
      <c r="F22" s="93">
        <f>F23</f>
        <v>25000</v>
      </c>
      <c r="G22" s="93">
        <f>G23</f>
        <v>25000</v>
      </c>
      <c r="H22" s="94"/>
      <c r="I22" s="90"/>
      <c r="J22" s="90"/>
      <c r="K22" s="90"/>
      <c r="L22" s="90"/>
      <c r="M22" s="90"/>
      <c r="CA22" s="1"/>
      <c r="CB22" s="1"/>
      <c r="CC22" s="1"/>
      <c r="CD22" s="1"/>
    </row>
    <row r="23" spans="1:82" ht="57" customHeight="1">
      <c r="A23" s="31" t="s">
        <v>213</v>
      </c>
      <c r="B23" s="7">
        <v>754</v>
      </c>
      <c r="C23" s="7">
        <v>75412</v>
      </c>
      <c r="D23" s="87">
        <v>20000</v>
      </c>
      <c r="E23" s="89">
        <v>4210</v>
      </c>
      <c r="F23" s="93">
        <v>25000</v>
      </c>
      <c r="G23" s="93">
        <v>25000</v>
      </c>
      <c r="H23" s="94"/>
      <c r="I23" s="90"/>
      <c r="J23" s="90"/>
      <c r="K23" s="90"/>
      <c r="L23" s="90"/>
      <c r="M23" s="90"/>
      <c r="CA23" s="1"/>
      <c r="CB23" s="1"/>
      <c r="CC23" s="1"/>
      <c r="CD23" s="1"/>
    </row>
    <row r="24" spans="1:82" ht="19.5" customHeight="1">
      <c r="A24" s="7"/>
      <c r="B24" s="7"/>
      <c r="C24" s="7"/>
      <c r="D24" s="7"/>
      <c r="E24" s="89"/>
      <c r="F24" s="90"/>
      <c r="G24" s="90"/>
      <c r="H24" s="90"/>
      <c r="I24" s="90"/>
      <c r="J24" s="90"/>
      <c r="K24" s="90"/>
      <c r="L24" s="90"/>
      <c r="M24" s="90"/>
      <c r="CA24" s="1"/>
      <c r="CB24" s="1"/>
      <c r="CC24" s="1"/>
      <c r="CD24" s="1"/>
    </row>
    <row r="25" spans="1:82" ht="24.75" customHeight="1">
      <c r="A25" s="123" t="s">
        <v>31</v>
      </c>
      <c r="B25" s="123"/>
      <c r="C25" s="123"/>
      <c r="D25" s="77">
        <f>D22+D19</f>
        <v>22000</v>
      </c>
      <c r="E25" s="77" t="str">
        <f>E13</f>
        <v>X</v>
      </c>
      <c r="F25" s="77">
        <f>F13+F22+F19</f>
        <v>318000</v>
      </c>
      <c r="G25" s="77">
        <f aca="true" t="shared" si="1" ref="G25:M25">G13+G22+G19</f>
        <v>67000</v>
      </c>
      <c r="H25" s="77">
        <f t="shared" si="1"/>
        <v>2000</v>
      </c>
      <c r="I25" s="77">
        <f t="shared" si="1"/>
        <v>0</v>
      </c>
      <c r="J25" s="77">
        <f t="shared" si="1"/>
        <v>40000</v>
      </c>
      <c r="K25" s="77">
        <f t="shared" si="1"/>
        <v>0</v>
      </c>
      <c r="L25" s="77">
        <f t="shared" si="1"/>
        <v>0</v>
      </c>
      <c r="M25" s="77">
        <f t="shared" si="1"/>
        <v>251000</v>
      </c>
      <c r="CA25" s="1"/>
      <c r="CB25" s="1"/>
      <c r="CC25" s="1"/>
      <c r="CD25" s="1"/>
    </row>
    <row r="27" ht="12.75">
      <c r="M27" t="s">
        <v>220</v>
      </c>
    </row>
    <row r="28" spans="6:13" ht="12.75">
      <c r="F28" s="36"/>
      <c r="M28" t="s">
        <v>221</v>
      </c>
    </row>
    <row r="29" ht="12.75">
      <c r="F29" s="36"/>
    </row>
    <row r="30" ht="12.75">
      <c r="M30" t="s">
        <v>222</v>
      </c>
    </row>
  </sheetData>
  <sheetProtection/>
  <mergeCells count="17">
    <mergeCell ref="A25:C25"/>
    <mergeCell ref="A13:C13"/>
    <mergeCell ref="A19:C19"/>
    <mergeCell ref="A22:C22"/>
    <mergeCell ref="G10:G11"/>
    <mergeCell ref="H10:L10"/>
    <mergeCell ref="M10:M11"/>
    <mergeCell ref="A9:A11"/>
    <mergeCell ref="B9:B11"/>
    <mergeCell ref="C9:C11"/>
    <mergeCell ref="D9:D11"/>
    <mergeCell ref="E9:E11"/>
    <mergeCell ref="F9:F11"/>
    <mergeCell ref="A5:M5"/>
    <mergeCell ref="I1:M3"/>
    <mergeCell ref="G9:M9"/>
    <mergeCell ref="A6:L6"/>
  </mergeCells>
  <printOptions horizontalCentered="1"/>
  <pageMargins left="0.5905511811023623" right="0.5905511811023623" top="0.32" bottom="0.16" header="0.18" footer="0.3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2008-08-12T10:24:01Z</cp:lastPrinted>
  <dcterms:created xsi:type="dcterms:W3CDTF">1998-12-09T13:02:10Z</dcterms:created>
  <dcterms:modified xsi:type="dcterms:W3CDTF">2008-09-02T07:28:59Z</dcterms:modified>
  <cp:category/>
  <cp:version/>
  <cp:contentType/>
  <cp:contentStatus/>
</cp:coreProperties>
</file>