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1" activeTab="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prognoza długu" sheetId="12" r:id="rId12"/>
  </sheets>
  <definedNames>
    <definedName name="_xlnm.Print_Titles" localSheetId="0">'1'!$9:$9</definedName>
    <definedName name="_xlnm.Print_Titles" localSheetId="1">'2'!$10:$10</definedName>
    <definedName name="_xlnm.Print_Titles" localSheetId="2">'3'!$12:$12</definedName>
    <definedName name="_xlnm.Print_Titles" localSheetId="3">'3a'!$13:$13</definedName>
    <definedName name="_xlnm.Print_Titles" localSheetId="5">'5'!$11:$11</definedName>
    <definedName name="_xlnm.Print_Titles" localSheetId="11">'prognoza długu'!$3:$4</definedName>
  </definedNames>
  <calcPr fullCalcOnLoad="1"/>
</workbook>
</file>

<file path=xl/sharedStrings.xml><?xml version="1.0" encoding="utf-8"?>
<sst xmlns="http://schemas.openxmlformats.org/spreadsheetml/2006/main" count="910" uniqueCount="541">
  <si>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</si>
  <si>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</si>
  <si>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</si>
  <si>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</si>
  <si>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</si>
  <si>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</si>
  <si>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</si>
  <si>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</si>
  <si>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</si>
  <si>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</si>
  <si>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</si>
  <si>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</si>
  <si>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</si>
  <si>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</si>
  <si>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</si>
  <si>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x</t>
  </si>
  <si>
    <t>w  złotych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</si>
  <si>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</si>
  <si>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</si>
  <si>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</si>
  <si>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</si>
  <si>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</si>
  <si>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</si>
  <si>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</si>
  <si>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</si>
  <si>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</si>
  <si>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</si>
  <si>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</si>
  <si>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</si>
  <si>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</si>
  <si>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</si>
  <si>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</si>
  <si>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</si>
  <si>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</si>
  <si>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</si>
  <si>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</si>
  <si>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</si>
  <si>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</si>
  <si>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</si>
  <si>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</si>
  <si>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</si>
  <si>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</si>
  <si>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</si>
  <si>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</si>
  <si>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</si>
  <si>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</si>
  <si>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</si>
  <si>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Plan
na 2008 r.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</si>
  <si>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</si>
  <si>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</si>
  <si>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</si>
  <si>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</si>
  <si>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</si>
  <si>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</si>
  <si>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</si>
  <si>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</si>
  <si>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</si>
  <si>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</si>
  <si>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</si>
  <si>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</si>
  <si>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</si>
  <si>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</si>
  <si>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</si>
  <si>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</si>
  <si>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</si>
  <si>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</si>
  <si>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Nazwa zadania</t>
  </si>
  <si>
    <t>L.p.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</si>
  <si>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</si>
  <si>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</si>
  <si>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</si>
  <si>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</si>
  <si>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</si>
  <si>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</si>
  <si>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</si>
  <si>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</si>
  <si>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</si>
  <si>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</si>
  <si>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</si>
  <si>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Nazwa instytucji</t>
  </si>
  <si>
    <t>Kwota dotacji</t>
  </si>
  <si>
    <t>Przewidywane wykonanie na 31.12</t>
  </si>
  <si>
    <t>2005 r.</t>
  </si>
  <si>
    <t>2006 r.</t>
  </si>
  <si>
    <t>2007 r.</t>
  </si>
  <si>
    <t>2008 r.</t>
  </si>
  <si>
    <t>A. Dochody</t>
  </si>
  <si>
    <t>z tego</t>
  </si>
  <si>
    <t>A.1. Dochody bieżące</t>
  </si>
  <si>
    <t>- subwencja ogólna</t>
  </si>
  <si>
    <t>- dotacje celowe na zadania bieżące</t>
  </si>
  <si>
    <t>A.2. Dochody majątkowe</t>
  </si>
  <si>
    <t>w tym</t>
  </si>
  <si>
    <t>- dochody ze sprzedaży majątku</t>
  </si>
  <si>
    <t>- dotacje celowe na zadania inwestycyjne</t>
  </si>
  <si>
    <t>B. Wydatki</t>
  </si>
  <si>
    <t>B1. Wydatki bieżące</t>
  </si>
  <si>
    <t>- wydatki na obsługę długu</t>
  </si>
  <si>
    <t>- wydatki z tytułu poręczeń i gwarancji</t>
  </si>
  <si>
    <t>B.2.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</si>
  <si>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</si>
  <si>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</si>
  <si>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</si>
  <si>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</si>
  <si>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</si>
  <si>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</si>
  <si>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</si>
  <si>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</si>
  <si>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</si>
  <si>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</si>
  <si>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</si>
  <si>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</si>
  <si>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</si>
  <si>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</si>
  <si>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</si>
  <si>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</si>
  <si>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</si>
  <si>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</si>
  <si>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</si>
  <si>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</si>
  <si>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</si>
  <si>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</si>
  <si>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</si>
  <si>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(poz.38 / poz.1) %</t>
  </si>
  <si>
    <t>Wskaźnik długu bez UE (poz.38 - poz.40 - poz.42 - poz.44 / poz.1) %</t>
  </si>
  <si>
    <t>Wskaźnik długu do dochodów własnych (poz.38 / (poz.3+poz.6-poz.8)) %</t>
  </si>
  <si>
    <t>Wskaźnik długu bez UE do dochodów własnych ((poz.38 - poz.40 - poz.42 - poz.44) / (poz.3+poz.6-poz.8))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</si>
  <si>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</si>
  <si>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</si>
  <si>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</si>
  <si>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</si>
  <si>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(poz.53 / poz.1) %</t>
  </si>
  <si>
    <t>Wskaźnik zadłużenia bez UE ((poz.53 - poz.55 - poz.57 - poz.59) / poz.1) %</t>
  </si>
  <si>
    <t>Wskaźnik zadłużenia do dochodów własnych (poz.53 / (poz.3+poz.6-poz.8)) %</t>
  </si>
  <si>
    <t>Wskaźnik zadłużenia bez UE do dochodów własnych ((poz.53 - poz.55 - poz.57- poz.59) / (poz.3+poz.6-poz.8)) %</t>
  </si>
  <si>
    <t>średnia arytmetyczna z obliczonych dla ostatnich trzech lat relacji dochodów bieżących powiększonych o wpływy uzyskane ze sprzedaży majątku oraz pomniejszonych o wydatki bieżące po wyłączeniu odsetek, do dochodów ogółem</t>
  </si>
  <si>
    <t>pokrycie wydatków bieżących dochodami bieżącymi (poz.2 - poz.10)</t>
  </si>
  <si>
    <r>
      <t>- dochody własne</t>
    </r>
    <r>
      <rPr>
        <vertAlign val="superscript"/>
        <sz val="10"/>
        <rFont val="Arial CE"/>
        <family val="2"/>
      </rPr>
      <t>2)</t>
    </r>
  </si>
  <si>
    <r>
      <t>D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 xml:space="preserve"> Przychody ogółem</t>
    </r>
  </si>
  <si>
    <r>
      <t>D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Rozchody ogółem</t>
    </r>
  </si>
  <si>
    <r>
      <t>E</t>
    </r>
    <r>
      <rPr>
        <b/>
        <vertAlign val="subscript"/>
        <sz val="10"/>
        <rFont val="Arial CE"/>
        <family val="2"/>
      </rPr>
      <t>1</t>
    </r>
    <r>
      <rPr>
        <b/>
        <sz val="10"/>
        <rFont val="Arial CE"/>
        <family val="2"/>
      </rPr>
      <t>. Dług na koniec roku</t>
    </r>
  </si>
  <si>
    <r>
      <t>Przyjęte depozyty</t>
    </r>
    <r>
      <rPr>
        <vertAlign val="superscript"/>
        <sz val="10"/>
        <rFont val="Arial CE"/>
        <family val="2"/>
      </rPr>
      <t>3)</t>
    </r>
  </si>
  <si>
    <r>
      <t>E</t>
    </r>
    <r>
      <rPr>
        <b/>
        <vertAlign val="subscript"/>
        <sz val="10"/>
        <rFont val="Arial CE"/>
        <family val="2"/>
      </rPr>
      <t>2</t>
    </r>
    <r>
      <rPr>
        <b/>
        <sz val="10"/>
        <rFont val="Arial CE"/>
        <family val="2"/>
      </rPr>
      <t>. Zadłużenie w ciągu roku</t>
    </r>
  </si>
  <si>
    <r>
      <t>Potencjalne spłaty z tytułu udzielonych poręczeń</t>
    </r>
    <r>
      <rPr>
        <vertAlign val="superscript"/>
        <sz val="10"/>
        <rFont val="Arial CE"/>
        <family val="2"/>
      </rPr>
      <t>4)</t>
    </r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</si>
  <si>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</si>
  <si>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</si>
  <si>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</si>
  <si>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</si>
  <si>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</si>
  <si>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</si>
  <si>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</si>
  <si>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</si>
  <si>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</si>
  <si>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</si>
  <si>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</si>
  <si>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</si>
  <si>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</si>
  <si>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</si>
  <si>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</si>
  <si>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</si>
  <si>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</si>
  <si>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</si>
  <si>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</si>
  <si>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</si>
  <si>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</si>
  <si>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</si>
  <si>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</si>
  <si>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</si>
  <si>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6.</t>
  </si>
  <si>
    <t>Nadwyżka budżetu z lat ubiegłych</t>
  </si>
  <si>
    <t>§ 957</t>
  </si>
  <si>
    <t>7.</t>
  </si>
  <si>
    <t xml:space="preserve">Obligacje </t>
  </si>
  <si>
    <t>§ 911</t>
  </si>
  <si>
    <t>8.</t>
  </si>
  <si>
    <t>Inne papiery wartościowe</t>
  </si>
  <si>
    <t>§ 931</t>
  </si>
  <si>
    <t>9.</t>
  </si>
  <si>
    <t>Inne źródła (wolne środki)</t>
  </si>
  <si>
    <t>§ 955</t>
  </si>
  <si>
    <t>10.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</si>
  <si>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</si>
  <si>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</si>
  <si>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</si>
  <si>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</si>
  <si>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</si>
  <si>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</si>
  <si>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</si>
  <si>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</si>
  <si>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</si>
  <si>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</si>
  <si>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</si>
  <si>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</si>
  <si>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</si>
  <si>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</si>
  <si>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</si>
  <si>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</si>
  <si>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Jednostka otrzymująca dotację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</si>
  <si>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</si>
  <si>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</si>
  <si>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</si>
  <si>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</si>
  <si>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</si>
  <si>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(związków gmin), powiatów (związków powiatów), samorządów województw, pozyskane z innych źródeł</t>
  </si>
  <si>
    <t>600</t>
  </si>
  <si>
    <t>Transport i łączność</t>
  </si>
  <si>
    <t>60016</t>
  </si>
  <si>
    <t>Drogi publiczne gminne</t>
  </si>
  <si>
    <t>0690</t>
  </si>
  <si>
    <t>Wpływy z różnych opłat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</si>
  <si>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</si>
  <si>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</si>
  <si>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</si>
  <si>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</si>
  <si>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</si>
  <si>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</si>
  <si>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</si>
  <si>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</si>
  <si>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</si>
  <si>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</si>
  <si>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</si>
  <si>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</si>
  <si>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</si>
  <si>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</si>
  <si>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</si>
  <si>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</si>
  <si>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</si>
  <si>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</si>
  <si>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75095</t>
  </si>
  <si>
    <t>Pozostała działalność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</si>
  <si>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</si>
  <si>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</si>
  <si>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</si>
  <si>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</si>
  <si>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</si>
  <si>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</si>
  <si>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75416</t>
  </si>
  <si>
    <t>Straż Miejska</t>
  </si>
  <si>
    <t>0570</t>
  </si>
  <si>
    <t>Grzywny, mandaty i inne kary pieniężne od osób fizycznych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</si>
  <si>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</si>
  <si>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</si>
  <si>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</si>
  <si>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</si>
  <si>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</si>
  <si>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</si>
  <si>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</si>
  <si>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</si>
  <si>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</si>
  <si>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</si>
  <si>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</si>
  <si>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</si>
  <si>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</si>
  <si>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</si>
  <si>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</si>
  <si>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</si>
  <si>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</si>
  <si>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</si>
  <si>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0440</t>
  </si>
  <si>
    <t>Wpływy z opłaty miejscowej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</si>
  <si>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</si>
  <si>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</si>
  <si>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</si>
  <si>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</si>
  <si>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</si>
  <si>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</si>
  <si>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</si>
  <si>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Podatek od spadków i darowizn</t>
  </si>
  <si>
    <t>0370</t>
  </si>
  <si>
    <t>Opłata od posiadania psów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</si>
  <si>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</si>
  <si>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</si>
  <si>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</si>
  <si>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</si>
  <si>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</si>
  <si>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</si>
  <si>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</si>
  <si>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</si>
  <si>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75620</t>
  </si>
  <si>
    <t>Wpływy z rozliczeń jednostek budżetowych z tytułu potrąceń</t>
  </si>
  <si>
    <t>2360</t>
  </si>
  <si>
    <t>Dochody jednostek samorządu terytorialnego związane z realizacją zadań z zakresu administracji rządowej oraz innych zadań zleconych ustawami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</si>
  <si>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</si>
  <si>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</si>
  <si>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</si>
  <si>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</si>
  <si>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</si>
  <si>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</si>
  <si>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</si>
  <si>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</si>
  <si>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</si>
  <si>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</si>
  <si>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</si>
  <si>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</si>
  <si>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</si>
  <si>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</si>
  <si>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</si>
  <si>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</si>
  <si>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0920</t>
  </si>
  <si>
    <t>Pozostałe odsetki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</si>
  <si>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</si>
  <si>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</si>
  <si>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</si>
  <si>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</si>
  <si>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</si>
  <si>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</si>
  <si>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</si>
  <si>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</si>
  <si>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</si>
  <si>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</si>
  <si>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85213</t>
  </si>
  <si>
    <t>Składki na ubezpieczenie zdrowotne opłacane za osoby pobierajace niektóre świadczenia z pomocy społecznej oraz niektóre świadczenia rodzinne</t>
  </si>
  <si>
    <t>85214</t>
  </si>
  <si>
    <t>Zasiłki i pomoc w naturze oraz składki na ubezpieczenia emerytalne i rentowe</t>
  </si>
  <si>
    <t>2030</t>
  </si>
  <si>
    <t>Dotacje celowe otrzymane z budżetu państwa na realizację własnych zadań bieżących gmin (związków gmin)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</si>
  <si>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</si>
  <si>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</si>
  <si>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</si>
  <si>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</si>
  <si>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</si>
  <si>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</si>
  <si>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85295</t>
  </si>
  <si>
    <t>Razem:</t>
  </si>
  <si>
    <t>01008</t>
  </si>
  <si>
    <t>Melioracje wodne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</si>
  <si>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</si>
  <si>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</si>
  <si>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</si>
  <si>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</si>
  <si>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01095</t>
  </si>
  <si>
    <t>60013</t>
  </si>
  <si>
    <t>Drogi publiczne wojewódzkie</t>
  </si>
  <si>
    <t>630</t>
  </si>
  <si>
    <t>Turystyka</t>
  </si>
  <si>
    <t>63095</t>
  </si>
  <si>
    <t>70004</t>
  </si>
  <si>
    <t>Różne jednostki obsługi gospodarki mieszkaniowej</t>
  </si>
  <si>
    <t>70095</t>
  </si>
  <si>
    <t>710</t>
  </si>
  <si>
    <t>Działalność usługowa</t>
  </si>
  <si>
    <t>71004</t>
  </si>
  <si>
    <t>Plany zagospodarowania przestrzennego</t>
  </si>
  <si>
    <t>71035</t>
  </si>
  <si>
    <t>Cmentarze</t>
  </si>
  <si>
    <t>75022</t>
  </si>
  <si>
    <t>Rady gmin (miast i miast na prawach powiatu)</t>
  </si>
  <si>
    <t>75023</t>
  </si>
  <si>
    <t>Urzędy gmin (miast i miast na prawach powiatu)</t>
  </si>
  <si>
    <t>Promocja jednostek samorządu terytorialnego</t>
  </si>
  <si>
    <t>75412</t>
  </si>
  <si>
    <t>Ochotnicze straże pożarne</t>
  </si>
  <si>
    <t>75414</t>
  </si>
  <si>
    <t>Obrona cywilna</t>
  </si>
  <si>
    <t>75495</t>
  </si>
  <si>
    <t>75647</t>
  </si>
  <si>
    <t>Pobór podatków, opłat i niepodatkowych należności budżetowych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</si>
  <si>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</si>
  <si>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</si>
  <si>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</si>
  <si>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</si>
  <si>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</si>
  <si>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</si>
  <si>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Rezerwy ogólne i celowe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</si>
  <si>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</si>
  <si>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</si>
  <si>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</si>
  <si>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</si>
  <si>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</si>
  <si>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</si>
  <si>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Dowożenie uczniów do szkół</t>
  </si>
  <si>
    <t>80114</t>
  </si>
  <si>
    <t>Zespoły obsługi ekonomiczno-administracyjnej szkół</t>
  </si>
  <si>
    <t>80146</t>
  </si>
  <si>
    <t>Dokształcanie i doskonalenie nauczycieli</t>
  </si>
  <si>
    <t>80195</t>
  </si>
  <si>
    <t>851</t>
  </si>
  <si>
    <t>Ochrona zdrowia</t>
  </si>
  <si>
    <t>85121</t>
  </si>
  <si>
    <t>Lecznictwo ambulatoryjne</t>
  </si>
  <si>
    <t>Zwalczanie narkomani</t>
  </si>
  <si>
    <t>85154</t>
  </si>
  <si>
    <t>Przeciwdziałanie alkoholizmowi</t>
  </si>
  <si>
    <t>85202</t>
  </si>
  <si>
    <t>Domy pomocy społecznej</t>
  </si>
  <si>
    <t>85215</t>
  </si>
  <si>
    <t>Dodatki mieszkaniowe</t>
  </si>
  <si>
    <t>854</t>
  </si>
  <si>
    <t>Edukacyjna opieka wychowawcza</t>
  </si>
  <si>
    <t>85401</t>
  </si>
  <si>
    <t>Świetlice szkolne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</si>
  <si>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</si>
  <si>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</si>
  <si>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</si>
  <si>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</si>
  <si>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</si>
  <si>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</si>
  <si>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Gospodarka odpadami</t>
  </si>
  <si>
    <t>90003</t>
  </si>
  <si>
    <t>Oczyszczanie miast i wsi</t>
  </si>
  <si>
    <t>90004</t>
  </si>
  <si>
    <t>Utrzymanie zieleni w miastach i gminach</t>
  </si>
  <si>
    <t>90015</t>
  </si>
  <si>
    <t>Oświetlenie ulic, placów i dróg</t>
  </si>
  <si>
    <t>90095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</si>
  <si>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</si>
  <si>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</si>
  <si>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</si>
  <si>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</si>
  <si>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</si>
  <si>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</si>
  <si>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</si>
  <si>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</si>
  <si>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</si>
  <si>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926</t>
  </si>
  <si>
    <t>Kultura fizyczna i sport</t>
  </si>
  <si>
    <t>92604</t>
  </si>
  <si>
    <t>Instytucje kultury fizycznej</t>
  </si>
  <si>
    <t>MOSiR</t>
  </si>
  <si>
    <t>Stowarzyszenia</t>
  </si>
  <si>
    <t>92695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</si>
  <si>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</si>
  <si>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</si>
  <si>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</si>
  <si>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</si>
  <si>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</si>
  <si>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</si>
  <si>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</si>
  <si>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</si>
  <si>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</si>
  <si>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</si>
  <si>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</si>
  <si>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</si>
  <si>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</si>
  <si>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</si>
  <si>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</si>
  <si>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</si>
  <si>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</si>
  <si>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</si>
  <si>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</si>
  <si>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</si>
  <si>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</si>
  <si>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</si>
  <si>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</si>
  <si>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</si>
  <si>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</si>
  <si>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</si>
  <si>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</si>
  <si>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</si>
  <si>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</si>
  <si>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</si>
  <si>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</si>
  <si>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</si>
  <si>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</si>
  <si>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</si>
  <si>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</si>
  <si>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</si>
  <si>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</si>
  <si>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</si>
  <si>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</si>
  <si>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Republiki Pińczowskiej (projekt) 2006-2009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</si>
  <si>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</si>
  <si>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</si>
  <si>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</si>
  <si>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</si>
  <si>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</si>
  <si>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</si>
  <si>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</si>
  <si>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Spółki wodne</t>
  </si>
  <si>
    <t>Dotacje otrzymane z funduszy celowych na finansowanie lub dofinansowanie kosztów realizacji inwestycji i zakupów inwestycyjnych jednostek sektora finansów publicznych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</si>
  <si>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</si>
  <si>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</si>
  <si>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</si>
  <si>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</si>
  <si>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</si>
  <si>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</si>
  <si>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</si>
  <si>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</si>
  <si>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</si>
  <si>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</si>
  <si>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Świętokrzyskie Stowarzyszenie na Rzecz Aktywizacji Zawodowej i Pomocy Młodzieży - Niepubliczne Gimnazjum w Pińczowie</t>
  </si>
  <si>
    <t>Samodzielny Zakład Opieki Zdrowotnej w Pińczowie</t>
  </si>
  <si>
    <t>Pińczowskie Samorządowe Centrum Kultury               w Pińczowie</t>
  </si>
  <si>
    <t>Muzeum Regionalne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</si>
  <si>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</si>
  <si>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</si>
  <si>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</si>
  <si>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</si>
  <si>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</si>
  <si>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</si>
  <si>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</si>
  <si>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</si>
  <si>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</si>
  <si>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</si>
  <si>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</si>
  <si>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</si>
  <si>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</si>
  <si>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</si>
  <si>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</si>
  <si>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</si>
  <si>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A. 100 000    
B. 0
C. 0
D. 0</t>
  </si>
  <si>
    <t>A. 100 000  MEN
B. 0
C. 0
D. 0</t>
  </si>
  <si>
    <t>na realizację programów i projektów realizowanych z udziałem środków pochodzących z funduszy strukturalnych i Funduszu Spójności UE</t>
  </si>
  <si>
    <t>2011 r.</t>
  </si>
  <si>
    <t>2012 r.</t>
  </si>
  <si>
    <t>2013 r.</t>
  </si>
  <si>
    <t>2014 r.</t>
  </si>
  <si>
    <t>2015 r.</t>
  </si>
  <si>
    <t xml:space="preserve">A.      
B.
C. 300 000 Dotacja z WFOŚiGW
D. </t>
  </si>
  <si>
    <t>Przzebudowa ulicy Polnej 2007-2009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</si>
  <si>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</si>
  <si>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</si>
  <si>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</si>
  <si>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Zapobieganie chorobom i urazom lub inne programy zdrowotne oraz promocjz zdrowia (badania diagnostyczne)</t>
  </si>
  <si>
    <t>Termomodernizacja Gimnazjum nr 2 w Pińczowie</t>
  </si>
  <si>
    <t>Prognoza długu publicznego  na lata 2008 - 2015</t>
  </si>
  <si>
    <t>Nagrody o charakterze szczególnym niezaliczone do wynagrodzeń § 3040</t>
  </si>
  <si>
    <t>Zarządzanie kryzysowe</t>
  </si>
  <si>
    <t>Plan dochodów budżetu gminy na 2008 r.</t>
  </si>
  <si>
    <t>Plan wydatków budżetu gminy na  2008 r.</t>
  </si>
  <si>
    <t>Plan limitów wydatków na wieloletnie programy inwestycyjne w latach 2008 - 2010</t>
  </si>
  <si>
    <t xml:space="preserve">Załącznik nr 3 do  Uchwały Nr ………....                                          Rady Miejskiej w Pińczowie                                             z dnia …………..                                                        w sprawie uchwalenia budżetu Gminy                                       na rok 2008 </t>
  </si>
  <si>
    <t>Zadania inwestycyjne roczne w 2008 r.</t>
  </si>
  <si>
    <t xml:space="preserve">Załącznik nr 3 a do Uchwały Nr ………....                                                         Rady Miejskiej w Pińczowie z dnia …………..                                               w sprawie uchwalenia budżetu Gminy na rok 2008  </t>
  </si>
  <si>
    <t>Przychody i rozchody budżetu w 2008 r.</t>
  </si>
  <si>
    <t xml:space="preserve">Załącznik nr 4 do Uchwały Nr ………....    Rady Miejskiej w Pińczowie z dnia …………...……….. w sprawie uchwalenia budżetu Gminy na rok 2008  </t>
  </si>
  <si>
    <t>Załącznik nr 5 do Uchwały                                            Nr …………….…....    Rady Miejskiej w Pińczowie                                 z dnia ……………..…….. w sprawie uchwalenia budżetu Gminy na rok 2008</t>
  </si>
  <si>
    <t>Załącznik nr 6 do Uchwały                                            Nr …………….........    Rady Miejskiej                                         w Pińczowie z dnia ………........…..                                         w sprawie uchwalenia budżetu Gminy na rok 2008</t>
  </si>
  <si>
    <t>Plan przychodów i wydatków zakładów budżetowych, gospodarstw pomocniczych</t>
  </si>
  <si>
    <t>Załącznik nr 7 do Uchwały                                            Nr ………….…....    Rady Miejskiej                                         w Pińczowie z dnia …...........………..                                         w sprawie uchwalenia budżetu Gminy na rok 2008</t>
  </si>
  <si>
    <t>Plan dotacji przedmiotowych w 2008 r.</t>
  </si>
  <si>
    <t>Plan dotacji podmiotowych w 2008 r.</t>
  </si>
  <si>
    <t>Załącznik nr 8 do Uchwały Nr ………………..    Rady Miejskiej                                         w Pińczowie z dnia ……………..……..  w sprawie uchwalenia budżetu Gminy                                          na rok 2008</t>
  </si>
  <si>
    <r>
      <t>Dotacje celowe</t>
    </r>
    <r>
      <rPr>
        <b/>
        <sz val="12"/>
        <rFont val="Arial CE"/>
        <family val="2"/>
      </rPr>
      <t xml:space="preserve"> </t>
    </r>
  </si>
  <si>
    <t>Załącznik nr 9 do Uchwały Nr ……….……....                                Rady Miejskiej  w Pińczowie z dnia ………..……..                                                  w sprawie uchwalenia budżetu Gminy na rok 2008</t>
  </si>
  <si>
    <t>Załącznik nr 10 do Uchwały Nr ………………..…....                                Rady Miejskiej  w Pińczowie                           z dnia ……………………....                                                  w sprawie uchwalenia budżetu Gminy na rok 2008</t>
  </si>
  <si>
    <t xml:space="preserve">Załącznik nr 1 do Uchwały Nr XIX/155/07                         Rady Miejskiej w Pińczowie z dnia 28 grudnia 2007 r.      w sprawie uchwalenie budżetu Gminy                               na rok 2008 </t>
  </si>
  <si>
    <t>Przewodniczący</t>
  </si>
  <si>
    <t>Rady Miejskiej</t>
  </si>
  <si>
    <t>Marek OMASTA</t>
  </si>
  <si>
    <t xml:space="preserve">Załącznik nr 2 do Uchwały Nr XIX/155/07                           Rady Miejskiej w Pińczowie z dnia 28 grudnia 2007 r.                                                        w sprawie uchwalenie budżetu Gminy na rok 2008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</si>
</sst>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5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bscript"/>
      <sz val="10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18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3" fontId="36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2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1" borderId="10" xfId="0" applyNumberFormat="1" applyFont="1" applyFill="1" applyBorder="1" applyAlignment="1" applyProtection="1">
      <alignment horizontal="left" vertical="center" wrapText="1"/>
      <protection/>
    </xf>
    <xf numFmtId="3" fontId="43" fillId="21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3" fillId="20" borderId="10" xfId="0" applyNumberFormat="1" applyFont="1" applyFill="1" applyBorder="1" applyAlignment="1" applyProtection="1">
      <alignment horizontal="left" vertical="center" wrapText="1"/>
      <protection/>
    </xf>
    <xf numFmtId="3" fontId="43" fillId="2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 wrapText="1"/>
      <protection/>
    </xf>
    <xf numFmtId="3" fontId="43" fillId="0" borderId="10" xfId="0" applyNumberFormat="1" applyFont="1" applyFill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20" borderId="14" xfId="0" applyNumberFormat="1" applyFont="1" applyFill="1" applyBorder="1" applyAlignment="1" applyProtection="1">
      <alignment horizontal="center" vertical="center" wrapText="1"/>
      <protection/>
    </xf>
    <xf numFmtId="0" fontId="43" fillId="21" borderId="14" xfId="0" applyNumberFormat="1" applyFont="1" applyFill="1" applyBorder="1" applyAlignment="1" applyProtection="1">
      <alignment horizontal="center" vertical="center" wrapText="1"/>
      <protection/>
    </xf>
    <xf numFmtId="0" fontId="42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47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3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top" wrapText="1"/>
    </xf>
    <xf numFmtId="0" fontId="47" fillId="0" borderId="10" xfId="0" applyNumberFormat="1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3" fillId="21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5" fillId="2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81">
      <selection activeCell="F101" sqref="F101"/>
    </sheetView>
  </sheetViews>
  <sheetFormatPr defaultColWidth="9.00390625" defaultRowHeight="12.75"/>
  <cols>
    <col min="1" max="1" width="6.875" style="0" customWidth="1"/>
    <col min="2" max="2" width="8.125" style="0" customWidth="1"/>
    <col min="3" max="3" width="6.00390625" style="0" customWidth="1"/>
    <col min="4" max="4" width="44.875" style="0" customWidth="1"/>
    <col min="5" max="5" width="18.125" style="0" customWidth="1"/>
    <col min="6" max="6" width="21.00390625" style="0" customWidth="1"/>
  </cols>
  <sheetData>
    <row r="1" spans="5:6" ht="12.75" customHeight="1">
      <c r="E1" s="174" t="s">
        <v>536</v>
      </c>
      <c r="F1" s="174"/>
    </row>
    <row r="2" spans="5:6" ht="12.75">
      <c r="E2" s="174"/>
      <c r="F2" s="174"/>
    </row>
    <row r="3" spans="5:6" ht="12.75">
      <c r="E3" s="174"/>
      <c r="F3" s="174"/>
    </row>
    <row r="4" spans="5:6" ht="12.75">
      <c r="E4" s="174"/>
      <c r="F4" s="174"/>
    </row>
    <row r="6" spans="1:6" ht="18">
      <c r="A6" s="173" t="s">
        <v>518</v>
      </c>
      <c r="B6" s="173"/>
      <c r="C6" s="173"/>
      <c r="D6" s="173"/>
      <c r="E6" s="173"/>
      <c r="F6" s="173"/>
    </row>
    <row r="8" spans="1:6" s="27" customFormat="1" ht="25.5">
      <c r="A8" s="26" t="s">
        <v>1</v>
      </c>
      <c r="B8" s="26" t="s">
        <v>2</v>
      </c>
      <c r="C8" s="26" t="s">
        <v>3</v>
      </c>
      <c r="D8" s="26" t="s">
        <v>4</v>
      </c>
      <c r="E8" s="26" t="s">
        <v>45</v>
      </c>
      <c r="F8" s="26" t="s">
        <v>46</v>
      </c>
    </row>
    <row r="9" spans="1:6" s="22" customFormat="1" ht="7.5" customHeigh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15">
      <c r="A10" s="97" t="s">
        <v>198</v>
      </c>
      <c r="B10" s="85"/>
      <c r="C10" s="85"/>
      <c r="D10" s="86" t="s">
        <v>199</v>
      </c>
      <c r="E10" s="87">
        <f>E11</f>
        <v>0</v>
      </c>
      <c r="F10" s="87">
        <f>F11</f>
        <v>300000</v>
      </c>
    </row>
    <row r="11" spans="1:6" ht="15">
      <c r="A11" s="96"/>
      <c r="B11" s="88" t="s">
        <v>200</v>
      </c>
      <c r="C11" s="84"/>
      <c r="D11" s="89" t="s">
        <v>201</v>
      </c>
      <c r="E11" s="90">
        <f>E12</f>
        <v>0</v>
      </c>
      <c r="F11" s="90">
        <f>F12</f>
        <v>300000</v>
      </c>
    </row>
    <row r="12" spans="1:6" ht="33.75">
      <c r="A12" s="98"/>
      <c r="B12" s="91"/>
      <c r="C12" s="92" t="s">
        <v>202</v>
      </c>
      <c r="D12" s="93" t="s">
        <v>203</v>
      </c>
      <c r="E12" s="94">
        <v>0</v>
      </c>
      <c r="F12" s="94">
        <v>300000</v>
      </c>
    </row>
    <row r="13" spans="1:6" ht="15">
      <c r="A13" s="97" t="s">
        <v>204</v>
      </c>
      <c r="B13" s="85"/>
      <c r="C13" s="85"/>
      <c r="D13" s="86" t="s">
        <v>205</v>
      </c>
      <c r="E13" s="87">
        <f>E14</f>
        <v>100000</v>
      </c>
      <c r="F13" s="87">
        <f>F14</f>
        <v>0</v>
      </c>
    </row>
    <row r="14" spans="1:6" ht="15">
      <c r="A14" s="96"/>
      <c r="B14" s="88" t="s">
        <v>206</v>
      </c>
      <c r="C14" s="84"/>
      <c r="D14" s="89" t="s">
        <v>207</v>
      </c>
      <c r="E14" s="90">
        <f>E15+E16</f>
        <v>100000</v>
      </c>
      <c r="F14" s="90">
        <f>F15+F16</f>
        <v>0</v>
      </c>
    </row>
    <row r="15" spans="1:6" ht="15">
      <c r="A15" s="98"/>
      <c r="B15" s="91"/>
      <c r="C15" s="92" t="s">
        <v>208</v>
      </c>
      <c r="D15" s="93" t="s">
        <v>209</v>
      </c>
      <c r="E15" s="94">
        <v>50000</v>
      </c>
      <c r="F15" s="94">
        <v>0</v>
      </c>
    </row>
    <row r="16" spans="1:6" ht="15">
      <c r="A16" s="98"/>
      <c r="B16" s="91"/>
      <c r="C16" s="92" t="s">
        <v>210</v>
      </c>
      <c r="D16" s="93" t="s">
        <v>211</v>
      </c>
      <c r="E16" s="94">
        <v>50000</v>
      </c>
      <c r="F16" s="94">
        <v>0</v>
      </c>
    </row>
    <row r="17" spans="1:6" s="24" customFormat="1" ht="15">
      <c r="A17" s="97" t="s">
        <v>212</v>
      </c>
      <c r="B17" s="85"/>
      <c r="C17" s="85"/>
      <c r="D17" s="86" t="s">
        <v>213</v>
      </c>
      <c r="E17" s="87">
        <f>E18</f>
        <v>134200</v>
      </c>
      <c r="F17" s="87">
        <f>F18</f>
        <v>500000</v>
      </c>
    </row>
    <row r="18" spans="1:6" ht="15">
      <c r="A18" s="96"/>
      <c r="B18" s="88" t="s">
        <v>214</v>
      </c>
      <c r="C18" s="84"/>
      <c r="D18" s="89" t="s">
        <v>215</v>
      </c>
      <c r="E18" s="90">
        <f>E19+E20+E21</f>
        <v>134200</v>
      </c>
      <c r="F18" s="90">
        <f>F19+F20+F21</f>
        <v>500000</v>
      </c>
    </row>
    <row r="19" spans="1:6" ht="22.5">
      <c r="A19" s="98"/>
      <c r="B19" s="91"/>
      <c r="C19" s="92" t="s">
        <v>216</v>
      </c>
      <c r="D19" s="93" t="s">
        <v>217</v>
      </c>
      <c r="E19" s="94">
        <v>80000</v>
      </c>
      <c r="F19" s="94">
        <v>0</v>
      </c>
    </row>
    <row r="20" spans="1:6" ht="45">
      <c r="A20" s="98"/>
      <c r="B20" s="91"/>
      <c r="C20" s="92" t="s">
        <v>218</v>
      </c>
      <c r="D20" s="93" t="s">
        <v>219</v>
      </c>
      <c r="E20" s="94">
        <v>54200</v>
      </c>
      <c r="F20" s="94">
        <v>0</v>
      </c>
    </row>
    <row r="21" spans="1:6" ht="22.5">
      <c r="A21" s="98"/>
      <c r="B21" s="91"/>
      <c r="C21" s="92" t="s">
        <v>220</v>
      </c>
      <c r="D21" s="93" t="s">
        <v>221</v>
      </c>
      <c r="E21" s="94">
        <v>0</v>
      </c>
      <c r="F21" s="94">
        <v>500000</v>
      </c>
    </row>
    <row r="22" spans="1:6" ht="15">
      <c r="A22" s="97" t="s">
        <v>222</v>
      </c>
      <c r="B22" s="85"/>
      <c r="C22" s="85"/>
      <c r="D22" s="86" t="s">
        <v>223</v>
      </c>
      <c r="E22" s="87">
        <f>E23+E25</f>
        <v>179235</v>
      </c>
      <c r="F22" s="87">
        <f>F23+F25</f>
        <v>0</v>
      </c>
    </row>
    <row r="23" spans="1:6" ht="15">
      <c r="A23" s="96"/>
      <c r="B23" s="88" t="s">
        <v>224</v>
      </c>
      <c r="C23" s="84"/>
      <c r="D23" s="89" t="s">
        <v>225</v>
      </c>
      <c r="E23" s="90">
        <f>E24</f>
        <v>119235</v>
      </c>
      <c r="F23" s="90">
        <f>F24</f>
        <v>0</v>
      </c>
    </row>
    <row r="24" spans="1:6" ht="33.75">
      <c r="A24" s="98"/>
      <c r="B24" s="91"/>
      <c r="C24" s="92" t="s">
        <v>226</v>
      </c>
      <c r="D24" s="93" t="s">
        <v>227</v>
      </c>
      <c r="E24" s="94">
        <v>119235</v>
      </c>
      <c r="F24" s="94">
        <v>0</v>
      </c>
    </row>
    <row r="25" spans="1:6" ht="15">
      <c r="A25" s="96"/>
      <c r="B25" s="88" t="s">
        <v>228</v>
      </c>
      <c r="C25" s="84"/>
      <c r="D25" s="89" t="s">
        <v>229</v>
      </c>
      <c r="E25" s="90">
        <f>E26+E27</f>
        <v>60000</v>
      </c>
      <c r="F25" s="90">
        <f>F26+F27</f>
        <v>0</v>
      </c>
    </row>
    <row r="26" spans="1:6" ht="15">
      <c r="A26" s="98"/>
      <c r="B26" s="91"/>
      <c r="C26" s="92" t="s">
        <v>208</v>
      </c>
      <c r="D26" s="93" t="s">
        <v>209</v>
      </c>
      <c r="E26" s="94">
        <v>20000</v>
      </c>
      <c r="F26" s="94">
        <v>0</v>
      </c>
    </row>
    <row r="27" spans="1:6" ht="15">
      <c r="A27" s="98"/>
      <c r="B27" s="91"/>
      <c r="C27" s="92" t="s">
        <v>210</v>
      </c>
      <c r="D27" s="93" t="s">
        <v>211</v>
      </c>
      <c r="E27" s="94">
        <v>40000</v>
      </c>
      <c r="F27" s="94">
        <v>0</v>
      </c>
    </row>
    <row r="28" spans="1:6" ht="22.5">
      <c r="A28" s="97" t="s">
        <v>230</v>
      </c>
      <c r="B28" s="85"/>
      <c r="C28" s="85"/>
      <c r="D28" s="86" t="s">
        <v>231</v>
      </c>
      <c r="E28" s="87">
        <f>E29</f>
        <v>3738</v>
      </c>
      <c r="F28" s="87">
        <f>F29</f>
        <v>0</v>
      </c>
    </row>
    <row r="29" spans="1:6" ht="22.5">
      <c r="A29" s="96"/>
      <c r="B29" s="88" t="s">
        <v>232</v>
      </c>
      <c r="C29" s="84"/>
      <c r="D29" s="89" t="s">
        <v>233</v>
      </c>
      <c r="E29" s="90">
        <f>E30</f>
        <v>3738</v>
      </c>
      <c r="F29" s="90">
        <f>F30</f>
        <v>0</v>
      </c>
    </row>
    <row r="30" spans="1:6" ht="33.75">
      <c r="A30" s="98"/>
      <c r="B30" s="91"/>
      <c r="C30" s="92" t="s">
        <v>226</v>
      </c>
      <c r="D30" s="93" t="s">
        <v>227</v>
      </c>
      <c r="E30" s="94">
        <v>3738</v>
      </c>
      <c r="F30" s="94">
        <v>0</v>
      </c>
    </row>
    <row r="31" spans="1:6" ht="15">
      <c r="A31" s="97" t="s">
        <v>234</v>
      </c>
      <c r="B31" s="85"/>
      <c r="C31" s="85"/>
      <c r="D31" s="86" t="s">
        <v>235</v>
      </c>
      <c r="E31" s="87">
        <f>E32</f>
        <v>15000</v>
      </c>
      <c r="F31" s="87">
        <f>F32</f>
        <v>0</v>
      </c>
    </row>
    <row r="32" spans="1:6" ht="15">
      <c r="A32" s="96"/>
      <c r="B32" s="88" t="s">
        <v>236</v>
      </c>
      <c r="C32" s="84"/>
      <c r="D32" s="89" t="s">
        <v>237</v>
      </c>
      <c r="E32" s="90">
        <f>E33</f>
        <v>15000</v>
      </c>
      <c r="F32" s="90">
        <f>F33</f>
        <v>0</v>
      </c>
    </row>
    <row r="33" spans="1:6" ht="15">
      <c r="A33" s="98"/>
      <c r="B33" s="91"/>
      <c r="C33" s="92" t="s">
        <v>238</v>
      </c>
      <c r="D33" s="93" t="s">
        <v>239</v>
      </c>
      <c r="E33" s="94">
        <v>15000</v>
      </c>
      <c r="F33" s="94">
        <v>0</v>
      </c>
    </row>
    <row r="34" spans="1:6" ht="33.75">
      <c r="A34" s="97" t="s">
        <v>240</v>
      </c>
      <c r="B34" s="85"/>
      <c r="C34" s="85"/>
      <c r="D34" s="86" t="s">
        <v>241</v>
      </c>
      <c r="E34" s="87">
        <f>E35+E37+E55+E59+E61+E46</f>
        <v>21658045</v>
      </c>
      <c r="F34" s="87">
        <f>F35+F37+F55+F59+F61+F46</f>
        <v>0</v>
      </c>
    </row>
    <row r="35" spans="1:6" ht="15">
      <c r="A35" s="96"/>
      <c r="B35" s="88" t="s">
        <v>242</v>
      </c>
      <c r="C35" s="84"/>
      <c r="D35" s="89" t="s">
        <v>243</v>
      </c>
      <c r="E35" s="90">
        <f>E36</f>
        <v>30000</v>
      </c>
      <c r="F35" s="90">
        <f>F36</f>
        <v>0</v>
      </c>
    </row>
    <row r="36" spans="1:6" ht="22.5">
      <c r="A36" s="98"/>
      <c r="B36" s="91"/>
      <c r="C36" s="92" t="s">
        <v>244</v>
      </c>
      <c r="D36" s="93" t="s">
        <v>245</v>
      </c>
      <c r="E36" s="94">
        <v>30000</v>
      </c>
      <c r="F36" s="94">
        <v>0</v>
      </c>
    </row>
    <row r="37" spans="1:6" ht="33.75">
      <c r="A37" s="96"/>
      <c r="B37" s="88" t="s">
        <v>246</v>
      </c>
      <c r="C37" s="84"/>
      <c r="D37" s="89" t="s">
        <v>247</v>
      </c>
      <c r="E37" s="90">
        <f>E38+E39+E40+E41+E42+E43+E44+E45</f>
        <v>8041500</v>
      </c>
      <c r="F37" s="90"/>
    </row>
    <row r="38" spans="1:6" ht="15">
      <c r="A38" s="98"/>
      <c r="B38" s="91"/>
      <c r="C38" s="92" t="s">
        <v>248</v>
      </c>
      <c r="D38" s="93" t="s">
        <v>249</v>
      </c>
      <c r="E38" s="94">
        <v>7500000</v>
      </c>
      <c r="F38" s="94">
        <v>0</v>
      </c>
    </row>
    <row r="39" spans="1:6" ht="15">
      <c r="A39" s="98"/>
      <c r="B39" s="91"/>
      <c r="C39" s="92" t="s">
        <v>250</v>
      </c>
      <c r="D39" s="93" t="s">
        <v>251</v>
      </c>
      <c r="E39" s="94">
        <v>50000</v>
      </c>
      <c r="F39" s="94">
        <v>0</v>
      </c>
    </row>
    <row r="40" spans="1:6" ht="15">
      <c r="A40" s="98"/>
      <c r="B40" s="91"/>
      <c r="C40" s="92" t="s">
        <v>252</v>
      </c>
      <c r="D40" s="93" t="s">
        <v>253</v>
      </c>
      <c r="E40" s="94">
        <v>65000</v>
      </c>
      <c r="F40" s="94">
        <v>0</v>
      </c>
    </row>
    <row r="41" spans="1:6" ht="15">
      <c r="A41" s="98"/>
      <c r="B41" s="91"/>
      <c r="C41" s="92" t="s">
        <v>254</v>
      </c>
      <c r="D41" s="93" t="s">
        <v>255</v>
      </c>
      <c r="E41" s="94">
        <v>170000</v>
      </c>
      <c r="F41" s="94">
        <v>0</v>
      </c>
    </row>
    <row r="42" spans="1:6" ht="15">
      <c r="A42" s="98"/>
      <c r="B42" s="91"/>
      <c r="C42" s="92" t="s">
        <v>256</v>
      </c>
      <c r="D42" s="93" t="s">
        <v>257</v>
      </c>
      <c r="E42" s="94">
        <v>190000</v>
      </c>
      <c r="F42" s="94">
        <v>0</v>
      </c>
    </row>
    <row r="43" spans="1:6" ht="15">
      <c r="A43" s="98"/>
      <c r="B43" s="91"/>
      <c r="C43" s="92" t="s">
        <v>258</v>
      </c>
      <c r="D43" s="93" t="s">
        <v>259</v>
      </c>
      <c r="E43" s="94">
        <v>1500</v>
      </c>
      <c r="F43" s="94">
        <v>0</v>
      </c>
    </row>
    <row r="44" spans="1:6" ht="15">
      <c r="A44" s="98"/>
      <c r="B44" s="91"/>
      <c r="C44" s="92" t="s">
        <v>260</v>
      </c>
      <c r="D44" s="93" t="s">
        <v>261</v>
      </c>
      <c r="E44" s="94">
        <v>50000</v>
      </c>
      <c r="F44" s="94">
        <v>0</v>
      </c>
    </row>
    <row r="45" spans="1:6" ht="15">
      <c r="A45" s="98"/>
      <c r="B45" s="91"/>
      <c r="C45" s="92" t="s">
        <v>262</v>
      </c>
      <c r="D45" s="93" t="s">
        <v>263</v>
      </c>
      <c r="E45" s="94">
        <v>15000</v>
      </c>
      <c r="F45" s="94">
        <v>0</v>
      </c>
    </row>
    <row r="46" spans="1:6" ht="45">
      <c r="A46" s="96"/>
      <c r="B46" s="88" t="s">
        <v>264</v>
      </c>
      <c r="C46" s="84"/>
      <c r="D46" s="89" t="s">
        <v>265</v>
      </c>
      <c r="E46" s="90">
        <f>E47+E48+E49+E50+E51+E52+E53+E54</f>
        <v>3625000</v>
      </c>
      <c r="F46" s="90">
        <f>F47+F48+F49+F50+F51+F52+F53+F54</f>
        <v>0</v>
      </c>
    </row>
    <row r="47" spans="1:6" ht="15">
      <c r="A47" s="98"/>
      <c r="B47" s="91"/>
      <c r="C47" s="92" t="s">
        <v>248</v>
      </c>
      <c r="D47" s="93" t="s">
        <v>249</v>
      </c>
      <c r="E47" s="94">
        <v>1800000</v>
      </c>
      <c r="F47" s="94">
        <v>0</v>
      </c>
    </row>
    <row r="48" spans="1:6" ht="15">
      <c r="A48" s="98"/>
      <c r="B48" s="91"/>
      <c r="C48" s="92" t="s">
        <v>250</v>
      </c>
      <c r="D48" s="93" t="s">
        <v>251</v>
      </c>
      <c r="E48" s="94">
        <v>850000</v>
      </c>
      <c r="F48" s="94">
        <v>0</v>
      </c>
    </row>
    <row r="49" spans="1:6" ht="15">
      <c r="A49" s="98"/>
      <c r="B49" s="91"/>
      <c r="C49" s="92" t="s">
        <v>252</v>
      </c>
      <c r="D49" s="93" t="s">
        <v>253</v>
      </c>
      <c r="E49" s="94">
        <v>8000</v>
      </c>
      <c r="F49" s="94">
        <v>0</v>
      </c>
    </row>
    <row r="50" spans="1:6" ht="15">
      <c r="A50" s="98"/>
      <c r="B50" s="91"/>
      <c r="C50" s="92" t="s">
        <v>254</v>
      </c>
      <c r="D50" s="93" t="s">
        <v>255</v>
      </c>
      <c r="E50" s="94">
        <v>470000</v>
      </c>
      <c r="F50" s="94">
        <v>0</v>
      </c>
    </row>
    <row r="51" spans="1:6" ht="15">
      <c r="A51" s="98"/>
      <c r="B51" s="91"/>
      <c r="C51" s="92" t="s">
        <v>266</v>
      </c>
      <c r="D51" s="93" t="s">
        <v>267</v>
      </c>
      <c r="E51" s="94">
        <v>80000</v>
      </c>
      <c r="F51" s="94">
        <v>0</v>
      </c>
    </row>
    <row r="52" spans="1:6" ht="15">
      <c r="A52" s="98"/>
      <c r="B52" s="91"/>
      <c r="C52" s="92" t="s">
        <v>268</v>
      </c>
      <c r="D52" s="93" t="s">
        <v>269</v>
      </c>
      <c r="E52" s="94">
        <v>7000</v>
      </c>
      <c r="F52" s="94">
        <v>0</v>
      </c>
    </row>
    <row r="53" spans="1:6" ht="15">
      <c r="A53" s="98"/>
      <c r="B53" s="91"/>
      <c r="C53" s="92" t="s">
        <v>260</v>
      </c>
      <c r="D53" s="93" t="s">
        <v>261</v>
      </c>
      <c r="E53" s="94">
        <v>350000</v>
      </c>
      <c r="F53" s="94">
        <v>0</v>
      </c>
    </row>
    <row r="54" spans="1:6" ht="15">
      <c r="A54" s="98"/>
      <c r="B54" s="91"/>
      <c r="C54" s="92" t="s">
        <v>262</v>
      </c>
      <c r="D54" s="93" t="s">
        <v>263</v>
      </c>
      <c r="E54" s="94">
        <v>60000</v>
      </c>
      <c r="F54" s="94">
        <v>0</v>
      </c>
    </row>
    <row r="55" spans="1:6" ht="22.5">
      <c r="A55" s="96"/>
      <c r="B55" s="88" t="s">
        <v>270</v>
      </c>
      <c r="C55" s="84"/>
      <c r="D55" s="89" t="s">
        <v>271</v>
      </c>
      <c r="E55" s="90">
        <f>E56+E57+E58</f>
        <v>1575000</v>
      </c>
      <c r="F55" s="90">
        <f>F56+F57+F58</f>
        <v>0</v>
      </c>
    </row>
    <row r="56" spans="1:6" ht="15">
      <c r="A56" s="98"/>
      <c r="B56" s="91"/>
      <c r="C56" s="92" t="s">
        <v>272</v>
      </c>
      <c r="D56" s="93" t="s">
        <v>273</v>
      </c>
      <c r="E56" s="94">
        <v>425000</v>
      </c>
      <c r="F56" s="94">
        <v>0</v>
      </c>
    </row>
    <row r="57" spans="1:6" ht="15">
      <c r="A57" s="98"/>
      <c r="B57" s="91"/>
      <c r="C57" s="92" t="s">
        <v>274</v>
      </c>
      <c r="D57" s="93" t="s">
        <v>275</v>
      </c>
      <c r="E57" s="94">
        <v>920000</v>
      </c>
      <c r="F57" s="94">
        <v>0</v>
      </c>
    </row>
    <row r="58" spans="1:6" ht="15">
      <c r="A58" s="98"/>
      <c r="B58" s="91"/>
      <c r="C58" s="92" t="s">
        <v>276</v>
      </c>
      <c r="D58" s="93" t="s">
        <v>277</v>
      </c>
      <c r="E58" s="94">
        <v>230000</v>
      </c>
      <c r="F58" s="94">
        <v>0</v>
      </c>
    </row>
    <row r="59" spans="1:6" ht="15">
      <c r="A59" s="96"/>
      <c r="B59" s="88" t="s">
        <v>278</v>
      </c>
      <c r="C59" s="84"/>
      <c r="D59" s="89" t="s">
        <v>279</v>
      </c>
      <c r="E59" s="90">
        <f>E60</f>
        <v>5786</v>
      </c>
      <c r="F59" s="90">
        <f>F60</f>
        <v>0</v>
      </c>
    </row>
    <row r="60" spans="1:6" ht="33.75">
      <c r="A60" s="98"/>
      <c r="B60" s="91"/>
      <c r="C60" s="92" t="s">
        <v>280</v>
      </c>
      <c r="D60" s="93" t="s">
        <v>281</v>
      </c>
      <c r="E60" s="94">
        <v>5786</v>
      </c>
      <c r="F60" s="94">
        <v>0</v>
      </c>
    </row>
    <row r="61" spans="1:6" ht="22.5">
      <c r="A61" s="96"/>
      <c r="B61" s="88" t="s">
        <v>282</v>
      </c>
      <c r="C61" s="84"/>
      <c r="D61" s="89" t="s">
        <v>283</v>
      </c>
      <c r="E61" s="90">
        <f>E62+E63</f>
        <v>8380759</v>
      </c>
      <c r="F61" s="90">
        <f>F62+F63</f>
        <v>0</v>
      </c>
    </row>
    <row r="62" spans="1:6" ht="15">
      <c r="A62" s="98"/>
      <c r="B62" s="91"/>
      <c r="C62" s="92" t="s">
        <v>284</v>
      </c>
      <c r="D62" s="93" t="s">
        <v>285</v>
      </c>
      <c r="E62" s="94">
        <v>7880759</v>
      </c>
      <c r="F62" s="94">
        <v>0</v>
      </c>
    </row>
    <row r="63" spans="1:6" ht="15">
      <c r="A63" s="98"/>
      <c r="B63" s="91"/>
      <c r="C63" s="92" t="s">
        <v>286</v>
      </c>
      <c r="D63" s="93" t="s">
        <v>287</v>
      </c>
      <c r="E63" s="94">
        <v>500000</v>
      </c>
      <c r="F63" s="94">
        <v>0</v>
      </c>
    </row>
    <row r="64" spans="1:6" ht="15">
      <c r="A64" s="97" t="s">
        <v>288</v>
      </c>
      <c r="B64" s="85"/>
      <c r="C64" s="85"/>
      <c r="D64" s="86" t="s">
        <v>289</v>
      </c>
      <c r="E64" s="87">
        <f>E65+E67+E69+E71</f>
        <v>11703946</v>
      </c>
      <c r="F64" s="87">
        <f>F65+F67+F69+F71</f>
        <v>0</v>
      </c>
    </row>
    <row r="65" spans="1:6" ht="22.5">
      <c r="A65" s="96"/>
      <c r="B65" s="88" t="s">
        <v>290</v>
      </c>
      <c r="C65" s="84"/>
      <c r="D65" s="89" t="s">
        <v>291</v>
      </c>
      <c r="E65" s="90">
        <f>E66</f>
        <v>10342079</v>
      </c>
      <c r="F65" s="90">
        <f>F66</f>
        <v>0</v>
      </c>
    </row>
    <row r="66" spans="1:6" ht="15">
      <c r="A66" s="98"/>
      <c r="B66" s="91"/>
      <c r="C66" s="92" t="s">
        <v>292</v>
      </c>
      <c r="D66" s="93" t="s">
        <v>293</v>
      </c>
      <c r="E66" s="94">
        <v>10342079</v>
      </c>
      <c r="F66" s="94">
        <v>0</v>
      </c>
    </row>
    <row r="67" spans="1:6" ht="15">
      <c r="A67" s="96"/>
      <c r="B67" s="88" t="s">
        <v>294</v>
      </c>
      <c r="C67" s="84"/>
      <c r="D67" s="89" t="s">
        <v>295</v>
      </c>
      <c r="E67" s="90">
        <f>E68</f>
        <v>531033</v>
      </c>
      <c r="F67" s="90">
        <f>F68</f>
        <v>0</v>
      </c>
    </row>
    <row r="68" spans="1:6" ht="15">
      <c r="A68" s="98"/>
      <c r="B68" s="91"/>
      <c r="C68" s="92" t="s">
        <v>292</v>
      </c>
      <c r="D68" s="93" t="s">
        <v>293</v>
      </c>
      <c r="E68" s="94">
        <v>531033</v>
      </c>
      <c r="F68" s="94">
        <v>0</v>
      </c>
    </row>
    <row r="69" spans="1:6" ht="15">
      <c r="A69" s="96"/>
      <c r="B69" s="88" t="s">
        <v>296</v>
      </c>
      <c r="C69" s="84"/>
      <c r="D69" s="89" t="s">
        <v>297</v>
      </c>
      <c r="E69" s="90">
        <f>E70</f>
        <v>70000</v>
      </c>
      <c r="F69" s="90">
        <f>F70</f>
        <v>0</v>
      </c>
    </row>
    <row r="70" spans="1:6" ht="15">
      <c r="A70" s="98"/>
      <c r="B70" s="91"/>
      <c r="C70" s="92" t="s">
        <v>298</v>
      </c>
      <c r="D70" s="93" t="s">
        <v>299</v>
      </c>
      <c r="E70" s="94">
        <v>70000</v>
      </c>
      <c r="F70" s="94">
        <v>0</v>
      </c>
    </row>
    <row r="71" spans="1:6" ht="15">
      <c r="A71" s="96"/>
      <c r="B71" s="88" t="s">
        <v>300</v>
      </c>
      <c r="C71" s="84"/>
      <c r="D71" s="89" t="s">
        <v>301</v>
      </c>
      <c r="E71" s="90">
        <f>E72</f>
        <v>760834</v>
      </c>
      <c r="F71" s="90">
        <f>F72</f>
        <v>0</v>
      </c>
    </row>
    <row r="72" spans="1:6" ht="15">
      <c r="A72" s="98"/>
      <c r="B72" s="91"/>
      <c r="C72" s="92" t="s">
        <v>292</v>
      </c>
      <c r="D72" s="93" t="s">
        <v>293</v>
      </c>
      <c r="E72" s="94">
        <v>760834</v>
      </c>
      <c r="F72" s="94">
        <v>0</v>
      </c>
    </row>
    <row r="73" spans="1:6" ht="15">
      <c r="A73" s="97" t="s">
        <v>302</v>
      </c>
      <c r="B73" s="85"/>
      <c r="C73" s="85"/>
      <c r="D73" s="86" t="s">
        <v>303</v>
      </c>
      <c r="E73" s="87">
        <f>E74</f>
        <v>28000</v>
      </c>
      <c r="F73" s="87">
        <f>F74</f>
        <v>100000</v>
      </c>
    </row>
    <row r="74" spans="1:6" ht="15">
      <c r="A74" s="96"/>
      <c r="B74" s="88" t="s">
        <v>304</v>
      </c>
      <c r="C74" s="84"/>
      <c r="D74" s="89" t="s">
        <v>305</v>
      </c>
      <c r="E74" s="90">
        <f>E75+E76</f>
        <v>28000</v>
      </c>
      <c r="F74" s="90">
        <f>F75+F76</f>
        <v>100000</v>
      </c>
    </row>
    <row r="75" spans="1:6" ht="45">
      <c r="A75" s="98"/>
      <c r="B75" s="91"/>
      <c r="C75" s="92" t="s">
        <v>218</v>
      </c>
      <c r="D75" s="93" t="s">
        <v>219</v>
      </c>
      <c r="E75" s="94">
        <v>28000</v>
      </c>
      <c r="F75" s="94">
        <v>0</v>
      </c>
    </row>
    <row r="76" spans="1:6" ht="33.75">
      <c r="A76" s="98"/>
      <c r="B76" s="91"/>
      <c r="C76" s="92">
        <v>6290</v>
      </c>
      <c r="D76" s="93" t="s">
        <v>203</v>
      </c>
      <c r="E76" s="94">
        <v>0</v>
      </c>
      <c r="F76" s="94">
        <v>100000</v>
      </c>
    </row>
    <row r="77" spans="1:6" ht="15">
      <c r="A77" s="97" t="s">
        <v>306</v>
      </c>
      <c r="B77" s="85"/>
      <c r="C77" s="85"/>
      <c r="D77" s="86" t="s">
        <v>307</v>
      </c>
      <c r="E77" s="87">
        <f>E78+E80+E82+E85+E87+E90</f>
        <v>8043812</v>
      </c>
      <c r="F77" s="87">
        <f>F78+F80+F82+F85+F87+F90</f>
        <v>0</v>
      </c>
    </row>
    <row r="78" spans="1:6" ht="33.75">
      <c r="A78" s="96"/>
      <c r="B78" s="88" t="s">
        <v>308</v>
      </c>
      <c r="C78" s="84"/>
      <c r="D78" s="89" t="s">
        <v>309</v>
      </c>
      <c r="E78" s="90">
        <f>E79</f>
        <v>7047970</v>
      </c>
      <c r="F78" s="90">
        <f>F79</f>
        <v>0</v>
      </c>
    </row>
    <row r="79" spans="1:6" ht="33.75">
      <c r="A79" s="98"/>
      <c r="B79" s="91"/>
      <c r="C79" s="92" t="s">
        <v>226</v>
      </c>
      <c r="D79" s="93" t="s">
        <v>227</v>
      </c>
      <c r="E79" s="94">
        <v>7047970</v>
      </c>
      <c r="F79" s="94">
        <v>0</v>
      </c>
    </row>
    <row r="80" spans="1:6" ht="33.75">
      <c r="A80" s="96"/>
      <c r="B80" s="88" t="s">
        <v>310</v>
      </c>
      <c r="C80" s="84"/>
      <c r="D80" s="89" t="s">
        <v>311</v>
      </c>
      <c r="E80" s="90">
        <f>E81</f>
        <v>43274</v>
      </c>
      <c r="F80" s="90">
        <f>F81</f>
        <v>0</v>
      </c>
    </row>
    <row r="81" spans="1:6" ht="33.75">
      <c r="A81" s="98"/>
      <c r="B81" s="91"/>
      <c r="C81" s="92" t="s">
        <v>226</v>
      </c>
      <c r="D81" s="93" t="s">
        <v>227</v>
      </c>
      <c r="E81" s="94">
        <v>43274</v>
      </c>
      <c r="F81" s="94">
        <v>0</v>
      </c>
    </row>
    <row r="82" spans="1:6" ht="22.5">
      <c r="A82" s="96"/>
      <c r="B82" s="88" t="s">
        <v>312</v>
      </c>
      <c r="C82" s="84"/>
      <c r="D82" s="89" t="s">
        <v>313</v>
      </c>
      <c r="E82" s="90">
        <f>E83+E84</f>
        <v>427601</v>
      </c>
      <c r="F82" s="90">
        <f>F83+F84</f>
        <v>0</v>
      </c>
    </row>
    <row r="83" spans="1:6" ht="33.75">
      <c r="A83" s="98"/>
      <c r="B83" s="91"/>
      <c r="C83" s="92" t="s">
        <v>226</v>
      </c>
      <c r="D83" s="93" t="s">
        <v>227</v>
      </c>
      <c r="E83" s="94">
        <v>314885</v>
      </c>
      <c r="F83" s="94">
        <v>0</v>
      </c>
    </row>
    <row r="84" spans="1:6" ht="22.5">
      <c r="A84" s="98"/>
      <c r="B84" s="91"/>
      <c r="C84" s="92" t="s">
        <v>314</v>
      </c>
      <c r="D84" s="93" t="s">
        <v>315</v>
      </c>
      <c r="E84" s="94">
        <v>112716</v>
      </c>
      <c r="F84" s="94">
        <v>0</v>
      </c>
    </row>
    <row r="85" spans="1:6" ht="15">
      <c r="A85" s="96"/>
      <c r="B85" s="88" t="s">
        <v>316</v>
      </c>
      <c r="C85" s="84"/>
      <c r="D85" s="89" t="s">
        <v>317</v>
      </c>
      <c r="E85" s="90">
        <f>E86</f>
        <v>307414</v>
      </c>
      <c r="F85" s="90">
        <f>F86</f>
        <v>0</v>
      </c>
    </row>
    <row r="86" spans="1:6" ht="22.5">
      <c r="A86" s="98"/>
      <c r="B86" s="91"/>
      <c r="C86" s="92" t="s">
        <v>314</v>
      </c>
      <c r="D86" s="93" t="s">
        <v>315</v>
      </c>
      <c r="E86" s="94">
        <v>307414</v>
      </c>
      <c r="F86" s="94">
        <v>0</v>
      </c>
    </row>
    <row r="87" spans="1:6" ht="15">
      <c r="A87" s="96"/>
      <c r="B87" s="88" t="s">
        <v>318</v>
      </c>
      <c r="C87" s="84"/>
      <c r="D87" s="89" t="s">
        <v>319</v>
      </c>
      <c r="E87" s="90">
        <f>E88+E89</f>
        <v>108234</v>
      </c>
      <c r="F87" s="90">
        <f>F88+F89</f>
        <v>0</v>
      </c>
    </row>
    <row r="88" spans="1:6" ht="15">
      <c r="A88" s="98"/>
      <c r="B88" s="91"/>
      <c r="C88" s="92" t="s">
        <v>320</v>
      </c>
      <c r="D88" s="93" t="s">
        <v>321</v>
      </c>
      <c r="E88" s="94">
        <v>60000</v>
      </c>
      <c r="F88" s="94">
        <v>0</v>
      </c>
    </row>
    <row r="89" spans="1:6" ht="33.75">
      <c r="A89" s="98"/>
      <c r="B89" s="91"/>
      <c r="C89" s="92" t="s">
        <v>226</v>
      </c>
      <c r="D89" s="93" t="s">
        <v>227</v>
      </c>
      <c r="E89" s="94">
        <v>48234</v>
      </c>
      <c r="F89" s="94">
        <v>0</v>
      </c>
    </row>
    <row r="90" spans="1:6" ht="15">
      <c r="A90" s="96"/>
      <c r="B90" s="88" t="s">
        <v>322</v>
      </c>
      <c r="C90" s="84"/>
      <c r="D90" s="89" t="s">
        <v>229</v>
      </c>
      <c r="E90" s="90">
        <f>E91</f>
        <v>109319</v>
      </c>
      <c r="F90" s="90">
        <f>F91</f>
        <v>0</v>
      </c>
    </row>
    <row r="91" spans="1:6" ht="22.5">
      <c r="A91" s="98"/>
      <c r="B91" s="91"/>
      <c r="C91" s="92" t="s">
        <v>314</v>
      </c>
      <c r="D91" s="93" t="s">
        <v>315</v>
      </c>
      <c r="E91" s="94">
        <v>109319</v>
      </c>
      <c r="F91" s="94">
        <v>0</v>
      </c>
    </row>
    <row r="92" spans="1:6" ht="19.5" customHeight="1">
      <c r="A92" s="138">
        <v>900</v>
      </c>
      <c r="B92" s="138"/>
      <c r="C92" s="138"/>
      <c r="D92" s="86" t="s">
        <v>394</v>
      </c>
      <c r="E92" s="87">
        <f>E93</f>
        <v>0</v>
      </c>
      <c r="F92" s="87">
        <f>F93</f>
        <v>300000</v>
      </c>
    </row>
    <row r="93" spans="1:6" ht="17.25" customHeight="1">
      <c r="A93" s="88"/>
      <c r="B93" s="88">
        <v>90095</v>
      </c>
      <c r="C93" s="88"/>
      <c r="D93" s="89" t="s">
        <v>229</v>
      </c>
      <c r="E93" s="90">
        <f>E94</f>
        <v>0</v>
      </c>
      <c r="F93" s="90">
        <f>F94</f>
        <v>300000</v>
      </c>
    </row>
    <row r="94" spans="1:6" ht="33.75">
      <c r="A94" s="91"/>
      <c r="B94" s="91"/>
      <c r="C94" s="92">
        <v>6260</v>
      </c>
      <c r="D94" s="93" t="s">
        <v>469</v>
      </c>
      <c r="E94" s="94">
        <v>0</v>
      </c>
      <c r="F94" s="94">
        <v>300000</v>
      </c>
    </row>
    <row r="95" spans="1:6" ht="15.75">
      <c r="A95" s="172" t="s">
        <v>323</v>
      </c>
      <c r="B95" s="172"/>
      <c r="C95" s="172"/>
      <c r="D95" s="172"/>
      <c r="E95" s="95">
        <f>E77+E73+E64+E34+E31+E28+E22+E17+E13+E10</f>
        <v>41865976</v>
      </c>
      <c r="F95" s="95">
        <f>F77+F73+F64+F34+F31+F28+F22+F17+F13+F10+F92</f>
        <v>1200000</v>
      </c>
    </row>
    <row r="96" ht="12.75">
      <c r="F96" s="160">
        <f>E95+F95</f>
        <v>43065976</v>
      </c>
    </row>
    <row r="99" ht="12.75">
      <c r="F99" t="s">
        <v>537</v>
      </c>
    </row>
    <row r="100" ht="12.75">
      <c r="F100" t="s">
        <v>538</v>
      </c>
    </row>
    <row r="101" ht="12.75">
      <c r="F101" t="s">
        <v>539</v>
      </c>
    </row>
  </sheetData>
  <sheetProtection/>
  <mergeCells count="3">
    <mergeCell ref="A95:D95"/>
    <mergeCell ref="A6:F6"/>
    <mergeCell ref="E1:F4"/>
  </mergeCells>
  <printOptions horizontalCentered="1"/>
  <pageMargins left="0.26" right="0.34" top="0.59" bottom="0.5905511811023623" header="0.33" footer="0.3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E5" sqref="E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30.125" style="0" customWidth="1"/>
    <col min="6" max="6" width="19.00390625" style="0" customWidth="1"/>
  </cols>
  <sheetData>
    <row r="1" spans="5:6" ht="12.75">
      <c r="E1" s="174" t="s">
        <v>534</v>
      </c>
      <c r="F1" s="174"/>
    </row>
    <row r="2" spans="5:6" ht="12.75">
      <c r="E2" s="174"/>
      <c r="F2" s="174"/>
    </row>
    <row r="3" spans="5:6" ht="12.75">
      <c r="E3" s="174"/>
      <c r="F3" s="174"/>
    </row>
    <row r="4" spans="5:6" ht="12.75">
      <c r="E4" s="174"/>
      <c r="F4" s="174"/>
    </row>
    <row r="6" spans="1:6" ht="48.75" customHeight="1">
      <c r="A6" s="209" t="s">
        <v>533</v>
      </c>
      <c r="B6" s="209"/>
      <c r="C6" s="209"/>
      <c r="D6" s="209"/>
      <c r="E6" s="209"/>
      <c r="F6" s="209"/>
    </row>
    <row r="7" spans="4:5" ht="19.5" customHeight="1">
      <c r="D7" s="28"/>
      <c r="E7" s="28"/>
    </row>
    <row r="8" spans="4:5" ht="19.5" customHeight="1">
      <c r="D8" s="1"/>
      <c r="E8" s="5" t="s">
        <v>14</v>
      </c>
    </row>
    <row r="9" spans="1:6" ht="19.5" customHeight="1">
      <c r="A9" s="30" t="s">
        <v>18</v>
      </c>
      <c r="B9" s="30" t="s">
        <v>1</v>
      </c>
      <c r="C9" s="30" t="s">
        <v>2</v>
      </c>
      <c r="D9" s="30" t="s">
        <v>66</v>
      </c>
      <c r="E9" s="30" t="s">
        <v>197</v>
      </c>
      <c r="F9" s="30" t="s">
        <v>80</v>
      </c>
    </row>
    <row r="10" spans="1:6" s="81" customFormat="1" ht="7.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5</v>
      </c>
    </row>
    <row r="11" spans="1:6" ht="53.25" customHeight="1">
      <c r="A11" s="76" t="s">
        <v>6</v>
      </c>
      <c r="B11" s="76">
        <v>851</v>
      </c>
      <c r="C11" s="76">
        <v>85121</v>
      </c>
      <c r="D11" s="144" t="s">
        <v>513</v>
      </c>
      <c r="E11" s="163" t="s">
        <v>481</v>
      </c>
      <c r="F11" s="145">
        <f>2!H61</f>
        <v>20000</v>
      </c>
    </row>
    <row r="12" spans="1:6" ht="55.5" customHeight="1">
      <c r="A12" s="76" t="s">
        <v>7</v>
      </c>
      <c r="B12" s="76">
        <v>851</v>
      </c>
      <c r="C12" s="76">
        <v>85154</v>
      </c>
      <c r="D12" s="147" t="s">
        <v>484</v>
      </c>
      <c r="E12" s="76" t="s">
        <v>486</v>
      </c>
      <c r="F12" s="145">
        <v>45000</v>
      </c>
    </row>
    <row r="13" spans="1:6" ht="94.5" customHeight="1">
      <c r="A13" s="76" t="s">
        <v>8</v>
      </c>
      <c r="B13" s="76">
        <v>851</v>
      </c>
      <c r="C13" s="76">
        <v>85154</v>
      </c>
      <c r="D13" s="147" t="s">
        <v>485</v>
      </c>
      <c r="E13" s="76" t="s">
        <v>486</v>
      </c>
      <c r="F13" s="145">
        <v>10000</v>
      </c>
    </row>
    <row r="14" spans="1:6" ht="71.25" customHeight="1">
      <c r="A14" s="76" t="s">
        <v>0</v>
      </c>
      <c r="B14" s="76">
        <v>926</v>
      </c>
      <c r="C14" s="76">
        <v>92604</v>
      </c>
      <c r="D14" s="144" t="s">
        <v>512</v>
      </c>
      <c r="E14" s="76" t="s">
        <v>486</v>
      </c>
      <c r="F14" s="145">
        <f>2!H92</f>
        <v>130000</v>
      </c>
    </row>
    <row r="15" spans="1:6" ht="30" customHeight="1">
      <c r="A15" s="190" t="s">
        <v>40</v>
      </c>
      <c r="B15" s="190"/>
      <c r="C15" s="190"/>
      <c r="D15" s="190"/>
      <c r="E15" s="45"/>
      <c r="F15" s="142">
        <f>F14+F13+F12+F11</f>
        <v>205000</v>
      </c>
    </row>
    <row r="17" s="82" customFormat="1" ht="12.75"/>
    <row r="18" s="83" customFormat="1" ht="12.75"/>
  </sheetData>
  <mergeCells count="3">
    <mergeCell ref="A15:D15"/>
    <mergeCell ref="E1:F4"/>
    <mergeCell ref="A6:F6"/>
  </mergeCells>
  <printOptions horizontalCentered="1"/>
  <pageMargins left="0.3937007874015748" right="0.3937007874015748" top="0.69" bottom="0.984251968503937" header="0.35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7" sqref="C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3:4" ht="12.75" customHeight="1">
      <c r="C1" s="182" t="s">
        <v>535</v>
      </c>
      <c r="D1" s="182"/>
    </row>
    <row r="2" spans="3:4" ht="12.75">
      <c r="C2" s="182"/>
      <c r="D2" s="182"/>
    </row>
    <row r="3" spans="3:4" ht="12.75">
      <c r="C3" s="182"/>
      <c r="D3" s="182"/>
    </row>
    <row r="4" spans="3:4" ht="12.75">
      <c r="C4" s="182"/>
      <c r="D4" s="182"/>
    </row>
    <row r="5" spans="3:4" ht="12.75">
      <c r="C5" s="182"/>
      <c r="D5" s="182"/>
    </row>
    <row r="6" spans="3:4" ht="12.75">
      <c r="C6" s="182"/>
      <c r="D6" s="182"/>
    </row>
    <row r="7" spans="3:4" ht="12.75">
      <c r="C7" s="161"/>
      <c r="D7" s="161"/>
    </row>
    <row r="8" spans="1:10" ht="19.5" customHeight="1">
      <c r="A8" s="183" t="s">
        <v>54</v>
      </c>
      <c r="B8" s="183"/>
      <c r="C8" s="183"/>
      <c r="D8" s="183"/>
      <c r="E8" s="28"/>
      <c r="F8" s="28"/>
      <c r="G8" s="28"/>
      <c r="H8" s="28"/>
      <c r="I8" s="28"/>
      <c r="J8" s="28"/>
    </row>
    <row r="9" spans="1:7" ht="19.5" customHeight="1">
      <c r="A9" s="183" t="s">
        <v>55</v>
      </c>
      <c r="B9" s="183"/>
      <c r="C9" s="183"/>
      <c r="D9" s="183"/>
      <c r="E9" s="28"/>
      <c r="F9" s="28"/>
      <c r="G9" s="28"/>
    </row>
    <row r="11" ht="12.75">
      <c r="C11" s="5" t="s">
        <v>14</v>
      </c>
    </row>
    <row r="12" spans="1:10" ht="19.5" customHeight="1">
      <c r="A12" s="30" t="s">
        <v>18</v>
      </c>
      <c r="B12" s="30" t="s">
        <v>56</v>
      </c>
      <c r="C12" s="30" t="s">
        <v>65</v>
      </c>
      <c r="D12" s="31"/>
      <c r="E12" s="31"/>
      <c r="F12" s="31"/>
      <c r="G12" s="31"/>
      <c r="H12" s="31"/>
      <c r="I12" s="32"/>
      <c r="J12" s="32"/>
    </row>
    <row r="13" spans="1:10" ht="19.5" customHeight="1">
      <c r="A13" s="33" t="s">
        <v>57</v>
      </c>
      <c r="B13" s="29" t="s">
        <v>58</v>
      </c>
      <c r="C13" s="148">
        <v>169630</v>
      </c>
      <c r="D13" s="31"/>
      <c r="E13" s="31"/>
      <c r="F13" s="31"/>
      <c r="G13" s="31"/>
      <c r="H13" s="31"/>
      <c r="I13" s="32"/>
      <c r="J13" s="32"/>
    </row>
    <row r="14" spans="1:10" ht="19.5" customHeight="1">
      <c r="A14" s="33" t="s">
        <v>59</v>
      </c>
      <c r="B14" s="29" t="s">
        <v>60</v>
      </c>
      <c r="C14" s="148">
        <f>C15+C16+C18+C17</f>
        <v>175000</v>
      </c>
      <c r="D14" s="31"/>
      <c r="E14" s="31"/>
      <c r="F14" s="31"/>
      <c r="G14" s="31"/>
      <c r="H14" s="31"/>
      <c r="I14" s="32"/>
      <c r="J14" s="32"/>
    </row>
    <row r="15" spans="1:10" ht="19.5" customHeight="1">
      <c r="A15" s="149">
        <v>1</v>
      </c>
      <c r="B15" s="151" t="s">
        <v>487</v>
      </c>
      <c r="C15" s="150">
        <v>1000</v>
      </c>
      <c r="D15" s="31"/>
      <c r="E15" s="31"/>
      <c r="F15" s="31"/>
      <c r="G15" s="31"/>
      <c r="H15" s="31"/>
      <c r="I15" s="32"/>
      <c r="J15" s="32"/>
    </row>
    <row r="16" spans="1:10" ht="27" customHeight="1">
      <c r="A16" s="149">
        <v>2</v>
      </c>
      <c r="B16" s="147" t="s">
        <v>488</v>
      </c>
      <c r="C16" s="150">
        <v>3000</v>
      </c>
      <c r="D16" s="31"/>
      <c r="E16" s="31"/>
      <c r="F16" s="31"/>
      <c r="G16" s="31"/>
      <c r="H16" s="31"/>
      <c r="I16" s="32"/>
      <c r="J16" s="32"/>
    </row>
    <row r="17" spans="1:10" ht="19.5" customHeight="1">
      <c r="A17" s="149">
        <v>3</v>
      </c>
      <c r="B17" s="151" t="s">
        <v>489</v>
      </c>
      <c r="C17" s="150">
        <v>168000</v>
      </c>
      <c r="D17" s="31"/>
      <c r="E17" s="31"/>
      <c r="F17" s="31"/>
      <c r="G17" s="31"/>
      <c r="H17" s="31"/>
      <c r="I17" s="32"/>
      <c r="J17" s="32"/>
    </row>
    <row r="18" spans="1:10" ht="19.5" customHeight="1">
      <c r="A18" s="149">
        <v>4</v>
      </c>
      <c r="B18" s="151" t="s">
        <v>490</v>
      </c>
      <c r="C18" s="150">
        <v>3000</v>
      </c>
      <c r="D18" s="31"/>
      <c r="E18" s="31"/>
      <c r="F18" s="31"/>
      <c r="G18" s="31"/>
      <c r="H18" s="31"/>
      <c r="I18" s="32"/>
      <c r="J18" s="32"/>
    </row>
    <row r="19" spans="1:10" ht="19.5" customHeight="1">
      <c r="A19" s="33" t="s">
        <v>61</v>
      </c>
      <c r="B19" s="29" t="s">
        <v>62</v>
      </c>
      <c r="C19" s="148">
        <f>C20+C24</f>
        <v>328630</v>
      </c>
      <c r="D19" s="31"/>
      <c r="E19" s="31"/>
      <c r="F19" s="31"/>
      <c r="G19" s="31"/>
      <c r="H19" s="31"/>
      <c r="I19" s="32"/>
      <c r="J19" s="32"/>
    </row>
    <row r="20" spans="1:10" ht="19.5" customHeight="1">
      <c r="A20" s="25" t="s">
        <v>6</v>
      </c>
      <c r="B20" s="152" t="s">
        <v>11</v>
      </c>
      <c r="C20" s="142">
        <f>C21+C22+C23</f>
        <v>144600</v>
      </c>
      <c r="D20" s="31"/>
      <c r="E20" s="31"/>
      <c r="F20" s="31"/>
      <c r="G20" s="31"/>
      <c r="H20" s="31"/>
      <c r="I20" s="32"/>
      <c r="J20" s="32"/>
    </row>
    <row r="21" spans="1:10" ht="17.25" customHeight="1">
      <c r="A21" s="76">
        <v>1</v>
      </c>
      <c r="B21" s="151" t="s">
        <v>516</v>
      </c>
      <c r="C21" s="145">
        <v>10000</v>
      </c>
      <c r="D21" s="31"/>
      <c r="E21" s="31"/>
      <c r="F21" s="31"/>
      <c r="G21" s="31"/>
      <c r="H21" s="31"/>
      <c r="I21" s="32"/>
      <c r="J21" s="32"/>
    </row>
    <row r="22" spans="1:10" ht="15" customHeight="1">
      <c r="A22" s="76">
        <v>2</v>
      </c>
      <c r="B22" s="151" t="s">
        <v>491</v>
      </c>
      <c r="C22" s="145">
        <v>65100</v>
      </c>
      <c r="D22" s="31"/>
      <c r="E22" s="31"/>
      <c r="F22" s="31"/>
      <c r="G22" s="31"/>
      <c r="H22" s="31"/>
      <c r="I22" s="32"/>
      <c r="J22" s="32"/>
    </row>
    <row r="23" spans="1:10" ht="15" customHeight="1">
      <c r="A23" s="76">
        <v>3</v>
      </c>
      <c r="B23" s="151" t="s">
        <v>492</v>
      </c>
      <c r="C23" s="145">
        <v>69500</v>
      </c>
      <c r="D23" s="31"/>
      <c r="E23" s="31"/>
      <c r="F23" s="31"/>
      <c r="G23" s="31"/>
      <c r="H23" s="31"/>
      <c r="I23" s="32"/>
      <c r="J23" s="32"/>
    </row>
    <row r="24" spans="1:10" ht="19.5" customHeight="1">
      <c r="A24" s="25" t="s">
        <v>7</v>
      </c>
      <c r="B24" s="152" t="s">
        <v>12</v>
      </c>
      <c r="C24" s="142">
        <f>C25</f>
        <v>184030</v>
      </c>
      <c r="D24" s="31"/>
      <c r="E24" s="31"/>
      <c r="F24" s="31"/>
      <c r="G24" s="31"/>
      <c r="H24" s="31"/>
      <c r="I24" s="32"/>
      <c r="J24" s="32"/>
    </row>
    <row r="25" spans="1:10" ht="15">
      <c r="A25" s="76">
        <v>1</v>
      </c>
      <c r="B25" s="147" t="s">
        <v>493</v>
      </c>
      <c r="C25" s="145">
        <v>184030</v>
      </c>
      <c r="D25" s="31"/>
      <c r="E25" s="31"/>
      <c r="F25" s="31"/>
      <c r="G25" s="31"/>
      <c r="H25" s="31"/>
      <c r="I25" s="32"/>
      <c r="J25" s="32"/>
    </row>
    <row r="26" spans="1:10" ht="15" customHeight="1">
      <c r="A26" s="33" t="s">
        <v>63</v>
      </c>
      <c r="B26" s="29" t="s">
        <v>64</v>
      </c>
      <c r="C26" s="148">
        <f>C13+C14-C19</f>
        <v>16000</v>
      </c>
      <c r="D26" s="31"/>
      <c r="E26" s="31"/>
      <c r="F26" s="31"/>
      <c r="G26" s="31"/>
      <c r="H26" s="31"/>
      <c r="I26" s="32"/>
      <c r="J26" s="32"/>
    </row>
    <row r="27" spans="1:10" ht="15">
      <c r="A27" s="31"/>
      <c r="B27" s="31"/>
      <c r="C27" s="31"/>
      <c r="D27" s="31"/>
      <c r="E27" s="31"/>
      <c r="F27" s="31"/>
      <c r="G27" s="31"/>
      <c r="H27" s="31"/>
      <c r="I27" s="32"/>
      <c r="J27" s="32"/>
    </row>
    <row r="28" spans="1:10" ht="15">
      <c r="A28" s="31"/>
      <c r="B28" s="31"/>
      <c r="C28" s="31"/>
      <c r="D28" s="31"/>
      <c r="E28" s="31"/>
      <c r="F28" s="31"/>
      <c r="G28" s="31"/>
      <c r="H28" s="31"/>
      <c r="I28" s="32"/>
      <c r="J28" s="32"/>
    </row>
    <row r="29" spans="1:10" ht="15">
      <c r="A29" s="31"/>
      <c r="B29" s="31"/>
      <c r="C29" s="31"/>
      <c r="D29" s="31"/>
      <c r="E29" s="31"/>
      <c r="F29" s="31"/>
      <c r="G29" s="31"/>
      <c r="H29" s="31"/>
      <c r="I29" s="32"/>
      <c r="J29" s="32"/>
    </row>
    <row r="30" spans="1:10" ht="15">
      <c r="A30" s="31"/>
      <c r="B30" s="31"/>
      <c r="C30" s="31"/>
      <c r="D30" s="31"/>
      <c r="E30" s="31"/>
      <c r="F30" s="31"/>
      <c r="G30" s="31"/>
      <c r="H30" s="31"/>
      <c r="I30" s="32"/>
      <c r="J30" s="32"/>
    </row>
    <row r="31" spans="1:10" ht="15">
      <c r="A31" s="31"/>
      <c r="B31" s="31"/>
      <c r="C31" s="31"/>
      <c r="D31" s="31"/>
      <c r="E31" s="31"/>
      <c r="F31" s="31"/>
      <c r="G31" s="31"/>
      <c r="H31" s="31"/>
      <c r="I31" s="32"/>
      <c r="J31" s="32"/>
    </row>
    <row r="32" spans="1:10" ht="15">
      <c r="A32" s="31"/>
      <c r="B32" s="31"/>
      <c r="C32" s="31"/>
      <c r="D32" s="31"/>
      <c r="E32" s="31"/>
      <c r="F32" s="31"/>
      <c r="G32" s="31"/>
      <c r="H32" s="31"/>
      <c r="I32" s="32"/>
      <c r="J32" s="32"/>
    </row>
    <row r="33" spans="1:10" ht="15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5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5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5">
      <c r="A36" s="32"/>
      <c r="B36" s="32"/>
      <c r="C36" s="32"/>
      <c r="D36" s="32"/>
      <c r="E36" s="32"/>
      <c r="F36" s="32"/>
      <c r="G36" s="32"/>
      <c r="H36" s="32"/>
      <c r="I36" s="32"/>
      <c r="J36" s="32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showZeros="0" workbookViewId="0" topLeftCell="A1">
      <selection activeCell="C80" sqref="C80"/>
    </sheetView>
  </sheetViews>
  <sheetFormatPr defaultColWidth="9.00390625" defaultRowHeight="12.75"/>
  <cols>
    <col min="1" max="1" width="4.00390625" style="70" customWidth="1"/>
    <col min="2" max="2" width="43.125" style="0" customWidth="1"/>
    <col min="3" max="3" width="11.75390625" style="0" bestFit="1" customWidth="1"/>
    <col min="4" max="4" width="13.375" style="0" bestFit="1" customWidth="1"/>
    <col min="5" max="5" width="12.75390625" style="0" customWidth="1"/>
    <col min="6" max="9" width="13.375" style="0" bestFit="1" customWidth="1"/>
    <col min="10" max="10" width="12.125" style="0" customWidth="1"/>
    <col min="11" max="11" width="11.875" style="0" customWidth="1"/>
    <col min="12" max="12" width="10.875" style="0" customWidth="1"/>
    <col min="13" max="13" width="13.125" style="0" customWidth="1"/>
    <col min="14" max="14" width="11.75390625" style="0" bestFit="1" customWidth="1"/>
  </cols>
  <sheetData>
    <row r="1" spans="1:13" ht="12.75">
      <c r="A1" s="210" t="s">
        <v>515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3" spans="1:13" ht="12.75" customHeight="1">
      <c r="A3" s="213" t="s">
        <v>67</v>
      </c>
      <c r="B3" s="213" t="s">
        <v>56</v>
      </c>
      <c r="C3" s="213"/>
      <c r="D3" s="213"/>
      <c r="E3" s="214" t="s">
        <v>81</v>
      </c>
      <c r="F3" s="215"/>
      <c r="G3" s="215"/>
      <c r="H3" s="215"/>
      <c r="I3" s="215"/>
      <c r="J3" s="215"/>
      <c r="K3" s="215"/>
      <c r="L3" s="215"/>
      <c r="M3" s="216"/>
    </row>
    <row r="4" spans="1:13" ht="12.75">
      <c r="A4" s="213"/>
      <c r="B4" s="213"/>
      <c r="C4" s="49" t="s">
        <v>82</v>
      </c>
      <c r="D4" s="49" t="s">
        <v>83</v>
      </c>
      <c r="E4" s="49" t="s">
        <v>84</v>
      </c>
      <c r="F4" s="49" t="s">
        <v>85</v>
      </c>
      <c r="G4" s="49" t="s">
        <v>17</v>
      </c>
      <c r="H4" s="49" t="s">
        <v>50</v>
      </c>
      <c r="I4" s="49" t="s">
        <v>503</v>
      </c>
      <c r="J4" s="49" t="s">
        <v>504</v>
      </c>
      <c r="K4" s="49" t="s">
        <v>505</v>
      </c>
      <c r="L4" s="49" t="s">
        <v>506</v>
      </c>
      <c r="M4" s="49" t="s">
        <v>507</v>
      </c>
    </row>
    <row r="5" spans="1:13" ht="12.75">
      <c r="A5" s="50">
        <v>1</v>
      </c>
      <c r="B5" s="50">
        <v>2</v>
      </c>
      <c r="C5" s="50">
        <v>4</v>
      </c>
      <c r="D5" s="50">
        <v>5</v>
      </c>
      <c r="E5" s="50">
        <v>6</v>
      </c>
      <c r="F5" s="50">
        <v>7</v>
      </c>
      <c r="G5" s="50">
        <v>8</v>
      </c>
      <c r="H5" s="50">
        <v>9</v>
      </c>
      <c r="I5" s="50">
        <v>10</v>
      </c>
      <c r="J5" s="67"/>
      <c r="K5" s="67"/>
      <c r="L5" s="67"/>
      <c r="M5" s="67"/>
    </row>
    <row r="6" spans="1:13" s="24" customFormat="1" ht="12.75">
      <c r="A6" s="51">
        <v>1</v>
      </c>
      <c r="B6" s="52" t="s">
        <v>86</v>
      </c>
      <c r="C6" s="53">
        <f>C8+C13</f>
        <v>34635653</v>
      </c>
      <c r="D6" s="53">
        <f>D8+D13</f>
        <v>44208483.63</v>
      </c>
      <c r="E6" s="53">
        <f>E8+E13</f>
        <v>45194874</v>
      </c>
      <c r="F6" s="53">
        <f>F8+F13</f>
        <v>43065976</v>
      </c>
      <c r="G6" s="53">
        <f>G8+G13</f>
        <v>43203295.52</v>
      </c>
      <c r="H6" s="53">
        <f aca="true" t="shared" si="0" ref="H6:M6">H8+H13</f>
        <v>44057361.43040001</v>
      </c>
      <c r="I6" s="53">
        <f t="shared" si="0"/>
        <v>44928508.659008004</v>
      </c>
      <c r="J6" s="53">
        <f t="shared" si="0"/>
        <v>45817078.83218816</v>
      </c>
      <c r="K6" s="53">
        <f t="shared" si="0"/>
        <v>46723420.40883193</v>
      </c>
      <c r="L6" s="53">
        <f t="shared" si="0"/>
        <v>47647888.81700857</v>
      </c>
      <c r="M6" s="53">
        <f t="shared" si="0"/>
        <v>48590846.59334874</v>
      </c>
    </row>
    <row r="7" spans="1:13" ht="12.75">
      <c r="A7" s="54"/>
      <c r="B7" s="55" t="s">
        <v>87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3" s="61" customFormat="1" ht="12.75">
      <c r="A8" s="58">
        <v>2</v>
      </c>
      <c r="B8" s="59" t="s">
        <v>88</v>
      </c>
      <c r="C8" s="60">
        <f aca="true" t="shared" si="1" ref="C8:H8">SUM(C10:C12)</f>
        <v>33569666</v>
      </c>
      <c r="D8" s="60">
        <f t="shared" si="1"/>
        <v>41402997</v>
      </c>
      <c r="E8" s="60">
        <f t="shared" si="1"/>
        <v>41868764</v>
      </c>
      <c r="F8" s="60">
        <f t="shared" si="1"/>
        <v>41865976</v>
      </c>
      <c r="G8" s="60">
        <f t="shared" si="1"/>
        <v>42703295.52</v>
      </c>
      <c r="H8" s="60">
        <f t="shared" si="1"/>
        <v>43557361.43040001</v>
      </c>
      <c r="I8" s="60">
        <f>SUM(I10:I12)</f>
        <v>44428508.659008004</v>
      </c>
      <c r="J8" s="60">
        <f>SUM(J10:J12)</f>
        <v>45317078.83218816</v>
      </c>
      <c r="K8" s="60">
        <f>SUM(K10:K12)</f>
        <v>46223420.40883193</v>
      </c>
      <c r="L8" s="60">
        <f>SUM(L10:L12)</f>
        <v>47147888.81700857</v>
      </c>
      <c r="M8" s="60">
        <f>SUM(M10:M12)</f>
        <v>48090846.59334874</v>
      </c>
    </row>
    <row r="9" spans="1:13" ht="12.75">
      <c r="A9" s="54"/>
      <c r="B9" s="55" t="s">
        <v>87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3" ht="14.25">
      <c r="A10" s="54">
        <v>3</v>
      </c>
      <c r="B10" s="62" t="s">
        <v>137</v>
      </c>
      <c r="C10" s="63">
        <f>34635653-C11-C12-C13</f>
        <v>18551836</v>
      </c>
      <c r="D10" s="63">
        <v>22213118</v>
      </c>
      <c r="E10" s="63">
        <v>21312778</v>
      </c>
      <c r="F10" s="63">
        <v>22125245</v>
      </c>
      <c r="G10" s="63">
        <f aca="true" t="shared" si="2" ref="G10:M12">F10*1.02</f>
        <v>22567749.900000002</v>
      </c>
      <c r="H10" s="63">
        <f t="shared" si="2"/>
        <v>23019104.898000002</v>
      </c>
      <c r="I10" s="63">
        <f t="shared" si="2"/>
        <v>23479486.99596</v>
      </c>
      <c r="J10" s="63">
        <f t="shared" si="2"/>
        <v>23949076.7358792</v>
      </c>
      <c r="K10" s="63">
        <f t="shared" si="2"/>
        <v>24428058.270596787</v>
      </c>
      <c r="L10" s="63">
        <f t="shared" si="2"/>
        <v>24916619.436008725</v>
      </c>
      <c r="M10" s="63">
        <f t="shared" si="2"/>
        <v>25414951.8247289</v>
      </c>
    </row>
    <row r="11" spans="1:13" ht="12.75">
      <c r="A11" s="54">
        <v>4</v>
      </c>
      <c r="B11" s="62" t="s">
        <v>89</v>
      </c>
      <c r="C11" s="63">
        <f>8899962+394597+534578</f>
        <v>9829137</v>
      </c>
      <c r="D11" s="63">
        <v>10213710</v>
      </c>
      <c r="E11" s="63">
        <v>11181686</v>
      </c>
      <c r="F11" s="63">
        <v>11633946</v>
      </c>
      <c r="G11" s="63">
        <f t="shared" si="2"/>
        <v>11866624.92</v>
      </c>
      <c r="H11" s="63">
        <f t="shared" si="2"/>
        <v>12103957.4184</v>
      </c>
      <c r="I11" s="63">
        <f t="shared" si="2"/>
        <v>12346036.566768002</v>
      </c>
      <c r="J11" s="63">
        <f t="shared" si="2"/>
        <v>12592957.298103362</v>
      </c>
      <c r="K11" s="63">
        <f t="shared" si="2"/>
        <v>12844816.44406543</v>
      </c>
      <c r="L11" s="63">
        <f t="shared" si="2"/>
        <v>13101712.772946738</v>
      </c>
      <c r="M11" s="63">
        <f t="shared" si="2"/>
        <v>13363747.028405672</v>
      </c>
    </row>
    <row r="12" spans="1:13" ht="12.75">
      <c r="A12" s="54">
        <v>5</v>
      </c>
      <c r="B12" s="62" t="s">
        <v>90</v>
      </c>
      <c r="C12" s="63">
        <f>4000+214760+3634+65577+39840+4767+1400+4131990+35840+77500+338000+21600+198000+29785+22000</f>
        <v>5188693</v>
      </c>
      <c r="D12" s="63">
        <v>8976169</v>
      </c>
      <c r="E12" s="63">
        <v>9374300</v>
      </c>
      <c r="F12" s="63">
        <v>8106785</v>
      </c>
      <c r="G12" s="63">
        <f t="shared" si="2"/>
        <v>8268920.7</v>
      </c>
      <c r="H12" s="63">
        <f t="shared" si="2"/>
        <v>8434299.114</v>
      </c>
      <c r="I12" s="63">
        <f t="shared" si="2"/>
        <v>8602985.096280001</v>
      </c>
      <c r="J12" s="63">
        <f t="shared" si="2"/>
        <v>8775044.798205601</v>
      </c>
      <c r="K12" s="63">
        <f t="shared" si="2"/>
        <v>8950545.694169713</v>
      </c>
      <c r="L12" s="63">
        <f t="shared" si="2"/>
        <v>9129556.608053107</v>
      </c>
      <c r="M12" s="63">
        <f t="shared" si="2"/>
        <v>9312147.740214169</v>
      </c>
    </row>
    <row r="13" spans="1:13" s="61" customFormat="1" ht="12.75">
      <c r="A13" s="58">
        <v>6</v>
      </c>
      <c r="B13" s="59" t="s">
        <v>91</v>
      </c>
      <c r="C13" s="65">
        <f>C15+C16</f>
        <v>1065987</v>
      </c>
      <c r="D13" s="65">
        <f>D15+D16</f>
        <v>2805486.63</v>
      </c>
      <c r="E13" s="65">
        <f>E15+E16</f>
        <v>3326110</v>
      </c>
      <c r="F13" s="65">
        <f>F15+F16</f>
        <v>1200000</v>
      </c>
      <c r="G13" s="65">
        <f aca="true" t="shared" si="3" ref="G13:L13">G15+G16</f>
        <v>500000</v>
      </c>
      <c r="H13" s="65">
        <f t="shared" si="3"/>
        <v>500000</v>
      </c>
      <c r="I13" s="65">
        <f t="shared" si="3"/>
        <v>500000</v>
      </c>
      <c r="J13" s="65">
        <f t="shared" si="3"/>
        <v>500000</v>
      </c>
      <c r="K13" s="65">
        <f t="shared" si="3"/>
        <v>500000</v>
      </c>
      <c r="L13" s="65">
        <f t="shared" si="3"/>
        <v>500000</v>
      </c>
      <c r="M13" s="65">
        <v>500000</v>
      </c>
    </row>
    <row r="14" spans="1:13" ht="12.75">
      <c r="A14" s="54"/>
      <c r="B14" s="55" t="s">
        <v>92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2.75">
      <c r="A15" s="54">
        <v>7</v>
      </c>
      <c r="B15" s="62" t="s">
        <v>93</v>
      </c>
      <c r="C15" s="63">
        <f>290237</f>
        <v>290237</v>
      </c>
      <c r="D15" s="63">
        <f>28.9+478987.97</f>
        <v>479016.87</v>
      </c>
      <c r="E15" s="63">
        <v>2051805</v>
      </c>
      <c r="F15" s="63">
        <v>500000</v>
      </c>
      <c r="G15" s="63">
        <f aca="true" t="shared" si="4" ref="G15:M15">F15</f>
        <v>500000</v>
      </c>
      <c r="H15" s="63">
        <f t="shared" si="4"/>
        <v>500000</v>
      </c>
      <c r="I15" s="63">
        <f t="shared" si="4"/>
        <v>500000</v>
      </c>
      <c r="J15" s="63">
        <f t="shared" si="4"/>
        <v>500000</v>
      </c>
      <c r="K15" s="63">
        <f t="shared" si="4"/>
        <v>500000</v>
      </c>
      <c r="L15" s="63">
        <f t="shared" si="4"/>
        <v>500000</v>
      </c>
      <c r="M15" s="63">
        <f t="shared" si="4"/>
        <v>500000</v>
      </c>
    </row>
    <row r="16" spans="1:13" ht="12.75">
      <c r="A16" s="54">
        <v>8</v>
      </c>
      <c r="B16" s="62" t="s">
        <v>94</v>
      </c>
      <c r="C16" s="63">
        <f>115897+183290+160000+200000+35000+21794+59769</f>
        <v>775750</v>
      </c>
      <c r="D16" s="63">
        <f>459303+1633396.76+78770+20000+100000+35000</f>
        <v>2326469.76</v>
      </c>
      <c r="E16" s="63">
        <v>1274305</v>
      </c>
      <c r="F16" s="63">
        <v>700000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/>
    </row>
    <row r="17" spans="1:13" s="24" customFormat="1" ht="12.75">
      <c r="A17" s="51">
        <v>9</v>
      </c>
      <c r="B17" s="52" t="s">
        <v>95</v>
      </c>
      <c r="C17" s="53">
        <f>C19+C23</f>
        <v>38817567</v>
      </c>
      <c r="D17" s="53">
        <f>D19+D23</f>
        <v>47688824.85</v>
      </c>
      <c r="E17" s="53">
        <f>E19+E23</f>
        <v>45567911</v>
      </c>
      <c r="F17" s="53">
        <f>F19+F23</f>
        <v>44204741</v>
      </c>
      <c r="G17" s="53">
        <f>40744176+500000+117600+19600-63300</f>
        <v>41318076</v>
      </c>
      <c r="H17" s="53">
        <f>41739761+500000+117600+19600-67600</f>
        <v>42309361</v>
      </c>
      <c r="I17" s="53">
        <f>42610909+500000+117600+19600-67600</f>
        <v>43180509</v>
      </c>
      <c r="J17" s="53">
        <f>43614204+500000+124601+19600+716909</f>
        <v>44975314</v>
      </c>
      <c r="K17" s="53">
        <f>45495420+500000</f>
        <v>45995420</v>
      </c>
      <c r="L17" s="53">
        <f>46415389+500000</f>
        <v>46915389</v>
      </c>
      <c r="M17" s="53">
        <f>47724347+500000</f>
        <v>48224347</v>
      </c>
    </row>
    <row r="18" spans="1:13" ht="12.75">
      <c r="A18" s="54"/>
      <c r="B18" s="55" t="s">
        <v>87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s="61" customFormat="1" ht="12.75">
      <c r="A19" s="58">
        <v>10</v>
      </c>
      <c r="B19" s="59" t="s">
        <v>96</v>
      </c>
      <c r="C19" s="65">
        <f>32313994</f>
        <v>32313994</v>
      </c>
      <c r="D19" s="65">
        <v>37927703.85</v>
      </c>
      <c r="E19" s="65">
        <v>41477389</v>
      </c>
      <c r="F19" s="65">
        <f>39436741+60000</f>
        <v>39496741</v>
      </c>
      <c r="G19" s="65">
        <f>G17-G23</f>
        <v>37680876</v>
      </c>
      <c r="H19" s="65">
        <f aca="true" t="shared" si="5" ref="H19:M19">H17-H23</f>
        <v>38462217</v>
      </c>
      <c r="I19" s="65">
        <f t="shared" si="5"/>
        <v>39158422.12</v>
      </c>
      <c r="J19" s="65">
        <f t="shared" si="5"/>
        <v>40728584.3824</v>
      </c>
      <c r="K19" s="65">
        <f t="shared" si="5"/>
        <v>41644155.790048</v>
      </c>
      <c r="L19" s="65">
        <f t="shared" si="5"/>
        <v>42457499.50584896</v>
      </c>
      <c r="M19" s="65">
        <f t="shared" si="5"/>
        <v>43677299.71596594</v>
      </c>
    </row>
    <row r="20" spans="1:13" ht="12.75">
      <c r="A20" s="54"/>
      <c r="B20" s="55" t="s">
        <v>92</v>
      </c>
      <c r="C20" s="63"/>
      <c r="D20" s="63"/>
      <c r="E20" s="63"/>
      <c r="F20" s="63"/>
      <c r="G20" s="63"/>
      <c r="H20" s="63"/>
      <c r="I20" s="63"/>
      <c r="J20" s="56"/>
      <c r="K20" s="56"/>
      <c r="L20" s="56"/>
      <c r="M20" s="56"/>
    </row>
    <row r="21" spans="1:13" ht="12.75">
      <c r="A21" s="54">
        <v>11</v>
      </c>
      <c r="B21" s="62" t="s">
        <v>97</v>
      </c>
      <c r="C21" s="63">
        <v>27931</v>
      </c>
      <c r="D21" s="63">
        <v>228774.81</v>
      </c>
      <c r="E21" s="63">
        <v>406799</v>
      </c>
      <c r="F21" s="63">
        <v>400000</v>
      </c>
      <c r="G21" s="63">
        <v>340000</v>
      </c>
      <c r="H21" s="63">
        <v>260000</v>
      </c>
      <c r="I21" s="63">
        <v>200000</v>
      </c>
      <c r="J21" s="156">
        <v>110000</v>
      </c>
      <c r="K21" s="156">
        <v>90000</v>
      </c>
      <c r="L21" s="156">
        <v>45000</v>
      </c>
      <c r="M21" s="156">
        <v>17661</v>
      </c>
    </row>
    <row r="22" spans="1:13" ht="12.75">
      <c r="A22" s="54">
        <v>12</v>
      </c>
      <c r="B22" s="62" t="s">
        <v>98</v>
      </c>
      <c r="C22" s="63">
        <v>0</v>
      </c>
      <c r="D22" s="63"/>
      <c r="E22" s="63">
        <v>48963</v>
      </c>
      <c r="F22" s="63">
        <v>211603</v>
      </c>
      <c r="G22" s="63">
        <v>129098</v>
      </c>
      <c r="H22" s="63">
        <v>124154</v>
      </c>
      <c r="I22" s="63">
        <v>113376</v>
      </c>
      <c r="J22" s="156">
        <v>97232</v>
      </c>
      <c r="K22" s="56"/>
      <c r="L22" s="56"/>
      <c r="M22" s="56"/>
    </row>
    <row r="23" spans="1:13" s="61" customFormat="1" ht="12.75">
      <c r="A23" s="58">
        <v>13</v>
      </c>
      <c r="B23" s="59" t="s">
        <v>99</v>
      </c>
      <c r="C23" s="65">
        <v>6503573</v>
      </c>
      <c r="D23" s="65">
        <v>9761121</v>
      </c>
      <c r="E23" s="65">
        <v>4090522</v>
      </c>
      <c r="F23" s="65">
        <f>4768000-60000</f>
        <v>4708000</v>
      </c>
      <c r="G23" s="65">
        <f>3500000+117600+19600</f>
        <v>3637200</v>
      </c>
      <c r="H23" s="65">
        <f>G23*1.02+117600+19600</f>
        <v>3847144</v>
      </c>
      <c r="I23" s="65">
        <f>H23*1.02+117600-19600</f>
        <v>4022086.88</v>
      </c>
      <c r="J23" s="65">
        <f>I23*1.02+124601+19600</f>
        <v>4246729.6175999995</v>
      </c>
      <c r="K23" s="65">
        <f>J23*1.02+19600</f>
        <v>4351264.209952</v>
      </c>
      <c r="L23" s="65">
        <f>K23*1.02+19600</f>
        <v>4457889.49415104</v>
      </c>
      <c r="M23" s="65">
        <f>L23*1.02</f>
        <v>4547047.284034061</v>
      </c>
    </row>
    <row r="24" spans="1:13" ht="12.75">
      <c r="A24" s="54">
        <v>14</v>
      </c>
      <c r="B24" s="66" t="s">
        <v>100</v>
      </c>
      <c r="C24" s="56">
        <f aca="true" t="shared" si="6" ref="C24:I24">C6-C17</f>
        <v>-4181914</v>
      </c>
      <c r="D24" s="56">
        <f t="shared" si="6"/>
        <v>-3480341.219999999</v>
      </c>
      <c r="E24" s="56">
        <f>E6-E17</f>
        <v>-373037</v>
      </c>
      <c r="F24" s="56">
        <f t="shared" si="6"/>
        <v>-1138765</v>
      </c>
      <c r="G24" s="56">
        <f t="shared" si="6"/>
        <v>1885219.5200000033</v>
      </c>
      <c r="H24" s="56">
        <f t="shared" si="6"/>
        <v>1748000.4304000065</v>
      </c>
      <c r="I24" s="56">
        <f t="shared" si="6"/>
        <v>1747999.6590080038</v>
      </c>
      <c r="J24" s="56">
        <f>J6-J17</f>
        <v>841764.8321881592</v>
      </c>
      <c r="K24" s="56">
        <f>K6-K17</f>
        <v>728000.4088319317</v>
      </c>
      <c r="L24" s="56">
        <f>L6-L17</f>
        <v>732499.8170085698</v>
      </c>
      <c r="M24" s="56">
        <f>M6-M17</f>
        <v>366499.59334874153</v>
      </c>
    </row>
    <row r="25" spans="1:13" ht="12.75">
      <c r="A25" s="54">
        <v>15</v>
      </c>
      <c r="B25" s="66" t="s">
        <v>101</v>
      </c>
      <c r="C25" s="56">
        <f>C26-C42</f>
        <v>5166412</v>
      </c>
      <c r="D25" s="56">
        <f>D26-D42</f>
        <v>5364146</v>
      </c>
      <c r="E25" s="56">
        <f>E26-E42</f>
        <v>373037</v>
      </c>
      <c r="F25" s="56">
        <f>F26-F42</f>
        <v>1138765</v>
      </c>
      <c r="G25" s="56">
        <f>G26-G24</f>
        <v>0.47999999672174454</v>
      </c>
      <c r="H25" s="56">
        <f aca="true" t="shared" si="7" ref="H25:M25">H26-H24</f>
        <v>-0.4304000064730644</v>
      </c>
      <c r="I25" s="56">
        <f t="shared" si="7"/>
        <v>0.3409919962286949</v>
      </c>
      <c r="J25" s="56">
        <f t="shared" si="7"/>
        <v>0.16781184077262878</v>
      </c>
      <c r="K25" s="56">
        <f t="shared" si="7"/>
        <v>-0.4088319316506386</v>
      </c>
      <c r="L25" s="56">
        <f t="shared" si="7"/>
        <v>0.18299143016338348</v>
      </c>
      <c r="M25" s="56">
        <f t="shared" si="7"/>
        <v>0.40665125846862793</v>
      </c>
    </row>
    <row r="26" spans="1:13" ht="14.25">
      <c r="A26" s="54">
        <v>16</v>
      </c>
      <c r="B26" s="66" t="s">
        <v>138</v>
      </c>
      <c r="C26" s="56">
        <f aca="true" t="shared" si="8" ref="C26:I26">C28+C31+C32+C33+C36+C39+C40+C41</f>
        <v>6966412</v>
      </c>
      <c r="D26" s="56">
        <f t="shared" si="8"/>
        <v>6541161</v>
      </c>
      <c r="E26" s="56">
        <f t="shared" si="8"/>
        <v>1773097</v>
      </c>
      <c r="F26" s="56">
        <f t="shared" si="8"/>
        <v>2696290</v>
      </c>
      <c r="G26" s="56">
        <f t="shared" si="8"/>
        <v>1885220</v>
      </c>
      <c r="H26" s="56">
        <f t="shared" si="8"/>
        <v>1748000</v>
      </c>
      <c r="I26" s="56">
        <f t="shared" si="8"/>
        <v>1748000</v>
      </c>
      <c r="J26" s="56">
        <f>J28+J31+J32+J33+J36+J39+J40+J41</f>
        <v>841765</v>
      </c>
      <c r="K26" s="56">
        <f>K28+K31+K32+K33+K36+K39+K40+K41</f>
        <v>728000</v>
      </c>
      <c r="L26" s="56">
        <f>L28+L31+L32+L33+L36+L39+L40+L41</f>
        <v>732500</v>
      </c>
      <c r="M26" s="56">
        <f>M28+M31+M32+M33+M36+M39+M40+M41</f>
        <v>366500</v>
      </c>
    </row>
    <row r="27" spans="1:13" ht="12.75">
      <c r="A27" s="54"/>
      <c r="B27" s="55" t="s">
        <v>87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3" ht="12.75" customHeight="1">
      <c r="A28" s="54">
        <v>17</v>
      </c>
      <c r="B28" s="55" t="s">
        <v>102</v>
      </c>
      <c r="C28" s="63">
        <v>5116120</v>
      </c>
      <c r="D28" s="63">
        <v>5556663</v>
      </c>
      <c r="E28" s="63">
        <f>239700+E30</f>
        <v>373037</v>
      </c>
      <c r="F28" s="63">
        <v>1138765</v>
      </c>
      <c r="G28" s="63">
        <v>0</v>
      </c>
      <c r="H28" s="63">
        <v>0</v>
      </c>
      <c r="I28" s="63">
        <v>0</v>
      </c>
      <c r="J28" s="156">
        <v>0</v>
      </c>
      <c r="K28" s="56"/>
      <c r="L28" s="56"/>
      <c r="M28" s="56"/>
    </row>
    <row r="29" spans="1:13" ht="12.75" customHeight="1">
      <c r="A29" s="54"/>
      <c r="B29" s="55" t="s">
        <v>5</v>
      </c>
      <c r="C29" s="63"/>
      <c r="D29" s="63"/>
      <c r="E29" s="63"/>
      <c r="F29" s="63"/>
      <c r="G29" s="63"/>
      <c r="H29" s="63"/>
      <c r="I29" s="63"/>
      <c r="J29" s="63"/>
      <c r="K29" s="63"/>
      <c r="L29" s="56"/>
      <c r="M29" s="56"/>
    </row>
    <row r="30" spans="1:13" ht="43.5" customHeight="1">
      <c r="A30" s="54">
        <v>18</v>
      </c>
      <c r="B30" s="55" t="s">
        <v>502</v>
      </c>
      <c r="C30" s="63"/>
      <c r="D30" s="63">
        <v>916663.93</v>
      </c>
      <c r="E30" s="63">
        <v>133337</v>
      </c>
      <c r="F30" s="63"/>
      <c r="G30" s="63"/>
      <c r="H30" s="63"/>
      <c r="I30" s="63"/>
      <c r="J30" s="56"/>
      <c r="K30" s="56"/>
      <c r="L30" s="56"/>
      <c r="M30" s="56"/>
    </row>
    <row r="31" spans="1:13" ht="12.75">
      <c r="A31" s="54">
        <v>19</v>
      </c>
      <c r="B31" s="55" t="s">
        <v>104</v>
      </c>
      <c r="C31" s="63"/>
      <c r="D31" s="63"/>
      <c r="E31" s="63">
        <v>0</v>
      </c>
      <c r="F31" s="63"/>
      <c r="G31" s="63"/>
      <c r="H31" s="63"/>
      <c r="I31" s="63"/>
      <c r="J31" s="56"/>
      <c r="K31" s="56"/>
      <c r="L31" s="56"/>
      <c r="M31" s="56"/>
    </row>
    <row r="32" spans="1:13" ht="12.75">
      <c r="A32" s="54">
        <v>20</v>
      </c>
      <c r="B32" s="55" t="s">
        <v>105</v>
      </c>
      <c r="C32" s="63">
        <v>50292</v>
      </c>
      <c r="D32" s="63"/>
      <c r="E32" s="63"/>
      <c r="F32" s="63"/>
      <c r="G32" s="63"/>
      <c r="H32" s="63"/>
      <c r="I32" s="63"/>
      <c r="J32" s="56"/>
      <c r="K32" s="56"/>
      <c r="L32" s="56"/>
      <c r="M32" s="56"/>
    </row>
    <row r="33" spans="1:13" ht="12.75">
      <c r="A33" s="54">
        <v>21</v>
      </c>
      <c r="B33" s="55" t="s">
        <v>106</v>
      </c>
      <c r="C33" s="63"/>
      <c r="D33" s="63"/>
      <c r="E33" s="63"/>
      <c r="F33" s="63">
        <v>0</v>
      </c>
      <c r="G33" s="63"/>
      <c r="H33" s="63"/>
      <c r="I33" s="63"/>
      <c r="J33" s="56"/>
      <c r="K33" s="56"/>
      <c r="L33" s="56"/>
      <c r="M33" s="56"/>
    </row>
    <row r="34" spans="1:13" ht="12.75">
      <c r="A34" s="54"/>
      <c r="B34" s="55" t="s">
        <v>5</v>
      </c>
      <c r="C34" s="63"/>
      <c r="D34" s="63"/>
      <c r="E34" s="63"/>
      <c r="F34" s="63"/>
      <c r="G34" s="63"/>
      <c r="H34" s="63"/>
      <c r="I34" s="63"/>
      <c r="J34" s="56"/>
      <c r="K34" s="56"/>
      <c r="L34" s="56"/>
      <c r="M34" s="56"/>
    </row>
    <row r="35" spans="1:13" ht="40.5" customHeight="1">
      <c r="A35" s="54">
        <v>22</v>
      </c>
      <c r="B35" s="55" t="s">
        <v>103</v>
      </c>
      <c r="C35" s="63"/>
      <c r="D35" s="63"/>
      <c r="E35" s="63"/>
      <c r="F35" s="63"/>
      <c r="G35" s="63"/>
      <c r="H35" s="63"/>
      <c r="I35" s="63"/>
      <c r="J35" s="56"/>
      <c r="K35" s="56"/>
      <c r="L35" s="56"/>
      <c r="M35" s="56"/>
    </row>
    <row r="36" spans="1:13" ht="25.5">
      <c r="A36" s="54">
        <v>23</v>
      </c>
      <c r="B36" s="55" t="s">
        <v>107</v>
      </c>
      <c r="C36" s="63"/>
      <c r="D36" s="63"/>
      <c r="E36" s="63"/>
      <c r="F36" s="63"/>
      <c r="G36" s="63"/>
      <c r="H36" s="63"/>
      <c r="I36" s="63"/>
      <c r="J36" s="56"/>
      <c r="K36" s="56"/>
      <c r="L36" s="56"/>
      <c r="M36" s="56"/>
    </row>
    <row r="37" spans="1:13" ht="12.75">
      <c r="A37" s="54"/>
      <c r="B37" s="55" t="s">
        <v>5</v>
      </c>
      <c r="C37" s="63"/>
      <c r="D37" s="63"/>
      <c r="E37" s="63"/>
      <c r="F37" s="63"/>
      <c r="G37" s="63"/>
      <c r="H37" s="63"/>
      <c r="I37" s="63"/>
      <c r="J37" s="56"/>
      <c r="K37" s="56"/>
      <c r="L37" s="56"/>
      <c r="M37" s="56"/>
    </row>
    <row r="38" spans="1:13" ht="51">
      <c r="A38" s="54">
        <v>24</v>
      </c>
      <c r="B38" s="55" t="s">
        <v>103</v>
      </c>
      <c r="C38" s="63"/>
      <c r="D38" s="63"/>
      <c r="E38" s="63"/>
      <c r="F38" s="63"/>
      <c r="G38" s="63"/>
      <c r="H38" s="63"/>
      <c r="I38" s="63"/>
      <c r="J38" s="56"/>
      <c r="K38" s="56"/>
      <c r="L38" s="56"/>
      <c r="M38" s="56"/>
    </row>
    <row r="39" spans="1:13" ht="12.75">
      <c r="A39" s="54">
        <v>25</v>
      </c>
      <c r="B39" s="67" t="s">
        <v>108</v>
      </c>
      <c r="C39" s="63"/>
      <c r="D39" s="63"/>
      <c r="E39" s="63"/>
      <c r="F39" s="63"/>
      <c r="G39" s="63"/>
      <c r="H39" s="63"/>
      <c r="I39" s="63"/>
      <c r="J39" s="56"/>
      <c r="K39" s="56"/>
      <c r="L39" s="56"/>
      <c r="M39" s="56"/>
    </row>
    <row r="40" spans="1:13" ht="12.75">
      <c r="A40" s="54">
        <v>26</v>
      </c>
      <c r="B40" s="55" t="s">
        <v>109</v>
      </c>
      <c r="C40" s="63">
        <v>1800000</v>
      </c>
      <c r="D40" s="63">
        <v>984498</v>
      </c>
      <c r="E40" s="63">
        <v>1400060</v>
      </c>
      <c r="F40" s="63">
        <f>F42</f>
        <v>1557525</v>
      </c>
      <c r="G40" s="63">
        <f aca="true" t="shared" si="9" ref="G40:M40">G44</f>
        <v>1885220</v>
      </c>
      <c r="H40" s="63">
        <f t="shared" si="9"/>
        <v>1748000</v>
      </c>
      <c r="I40" s="63">
        <f t="shared" si="9"/>
        <v>1748000</v>
      </c>
      <c r="J40" s="63">
        <f t="shared" si="9"/>
        <v>841765</v>
      </c>
      <c r="K40" s="63">
        <f t="shared" si="9"/>
        <v>728000</v>
      </c>
      <c r="L40" s="63">
        <f t="shared" si="9"/>
        <v>732500</v>
      </c>
      <c r="M40" s="63">
        <f t="shared" si="9"/>
        <v>366500</v>
      </c>
    </row>
    <row r="41" spans="1:13" ht="12.75">
      <c r="A41" s="54">
        <v>27</v>
      </c>
      <c r="B41" s="55" t="s">
        <v>110</v>
      </c>
      <c r="C41" s="63"/>
      <c r="D41" s="63"/>
      <c r="E41" s="63"/>
      <c r="F41" s="63"/>
      <c r="G41" s="63"/>
      <c r="H41" s="63"/>
      <c r="I41" s="63"/>
      <c r="J41" s="56"/>
      <c r="K41" s="56"/>
      <c r="L41" s="56"/>
      <c r="M41" s="56"/>
    </row>
    <row r="42" spans="1:13" ht="14.25">
      <c r="A42" s="54">
        <v>28</v>
      </c>
      <c r="B42" s="66" t="s">
        <v>139</v>
      </c>
      <c r="C42" s="56">
        <f aca="true" t="shared" si="10" ref="C42:M42">C44+C47+C48+C49+C52+C55</f>
        <v>1800000</v>
      </c>
      <c r="D42" s="56">
        <f t="shared" si="10"/>
        <v>1177015</v>
      </c>
      <c r="E42" s="56">
        <f t="shared" si="10"/>
        <v>1400060</v>
      </c>
      <c r="F42" s="56">
        <f t="shared" si="10"/>
        <v>1557525</v>
      </c>
      <c r="G42" s="56">
        <f t="shared" si="10"/>
        <v>1885220</v>
      </c>
      <c r="H42" s="56">
        <f t="shared" si="10"/>
        <v>1748000</v>
      </c>
      <c r="I42" s="56">
        <f t="shared" si="10"/>
        <v>1748000</v>
      </c>
      <c r="J42" s="56">
        <f t="shared" si="10"/>
        <v>841765</v>
      </c>
      <c r="K42" s="56">
        <f t="shared" si="10"/>
        <v>728000</v>
      </c>
      <c r="L42" s="56">
        <f t="shared" si="10"/>
        <v>732500</v>
      </c>
      <c r="M42" s="56">
        <f t="shared" si="10"/>
        <v>366500</v>
      </c>
    </row>
    <row r="43" spans="1:13" ht="12.75">
      <c r="A43" s="54"/>
      <c r="B43" s="55" t="s">
        <v>87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2.75">
      <c r="A44" s="54">
        <v>29</v>
      </c>
      <c r="B44" s="55" t="s">
        <v>111</v>
      </c>
      <c r="C44" s="63">
        <v>1800000</v>
      </c>
      <c r="D44" s="63">
        <v>1177015</v>
      </c>
      <c r="E44" s="63">
        <v>1400060</v>
      </c>
      <c r="F44" s="63">
        <v>1557525</v>
      </c>
      <c r="G44" s="63">
        <f>1529520+360000-4300</f>
        <v>1885220</v>
      </c>
      <c r="H44" s="63">
        <f>1388000+360000</f>
        <v>1748000</v>
      </c>
      <c r="I44" s="63">
        <f>1388000+360000</f>
        <v>1748000</v>
      </c>
      <c r="J44" s="63">
        <f>1378000+58765-595000</f>
        <v>841765</v>
      </c>
      <c r="K44" s="63">
        <f>728000</f>
        <v>728000</v>
      </c>
      <c r="L44" s="63">
        <f>732500</f>
        <v>732500</v>
      </c>
      <c r="M44" s="63">
        <v>366500</v>
      </c>
    </row>
    <row r="45" spans="1:13" ht="12.75">
      <c r="A45" s="54"/>
      <c r="B45" s="55" t="s">
        <v>5</v>
      </c>
      <c r="C45" s="63"/>
      <c r="D45" s="63"/>
      <c r="E45" s="63"/>
      <c r="F45" s="63"/>
      <c r="G45" s="63"/>
      <c r="H45" s="63"/>
      <c r="I45" s="63"/>
      <c r="J45" s="56"/>
      <c r="K45" s="56"/>
      <c r="L45" s="56"/>
      <c r="M45" s="56"/>
    </row>
    <row r="46" spans="1:13" ht="44.25" customHeight="1">
      <c r="A46" s="54">
        <v>30</v>
      </c>
      <c r="B46" s="55" t="s">
        <v>103</v>
      </c>
      <c r="C46" s="63"/>
      <c r="D46" s="63"/>
      <c r="E46" s="63"/>
      <c r="F46" s="63">
        <v>87000</v>
      </c>
      <c r="G46" s="63">
        <v>116000</v>
      </c>
      <c r="H46" s="63">
        <v>116000</v>
      </c>
      <c r="I46" s="63">
        <v>116000</v>
      </c>
      <c r="J46" s="156">
        <v>116000</v>
      </c>
      <c r="K46" s="156">
        <v>116000</v>
      </c>
      <c r="L46" s="156">
        <v>120500</v>
      </c>
      <c r="M46" s="156">
        <v>262500</v>
      </c>
    </row>
    <row r="47" spans="1:13" ht="12.75">
      <c r="A47" s="54">
        <v>31</v>
      </c>
      <c r="B47" s="55" t="s">
        <v>112</v>
      </c>
      <c r="C47" s="63"/>
      <c r="D47" s="63"/>
      <c r="E47" s="63"/>
      <c r="F47" s="63">
        <v>0</v>
      </c>
      <c r="G47" s="63"/>
      <c r="H47" s="63"/>
      <c r="I47" s="63"/>
      <c r="J47" s="56"/>
      <c r="K47" s="56"/>
      <c r="L47" s="56"/>
      <c r="M47" s="56"/>
    </row>
    <row r="48" spans="1:13" ht="12.75">
      <c r="A48" s="54">
        <v>32</v>
      </c>
      <c r="B48" s="55" t="s">
        <v>113</v>
      </c>
      <c r="C48" s="63"/>
      <c r="D48" s="63"/>
      <c r="E48" s="63"/>
      <c r="F48" s="63">
        <v>0</v>
      </c>
      <c r="G48" s="63"/>
      <c r="H48" s="63"/>
      <c r="I48" s="63"/>
      <c r="J48" s="56"/>
      <c r="K48" s="56"/>
      <c r="L48" s="56"/>
      <c r="M48" s="56"/>
    </row>
    <row r="49" spans="1:13" ht="12.75">
      <c r="A49" s="54">
        <v>33</v>
      </c>
      <c r="B49" s="55" t="s">
        <v>114</v>
      </c>
      <c r="C49" s="63"/>
      <c r="D49" s="63"/>
      <c r="E49" s="63"/>
      <c r="F49" s="63"/>
      <c r="G49" s="63"/>
      <c r="H49" s="63"/>
      <c r="I49" s="63"/>
      <c r="J49" s="56"/>
      <c r="K49" s="56"/>
      <c r="L49" s="56"/>
      <c r="M49" s="56"/>
    </row>
    <row r="50" spans="1:13" ht="12.75">
      <c r="A50" s="54"/>
      <c r="B50" s="55" t="s">
        <v>5</v>
      </c>
      <c r="C50" s="63"/>
      <c r="D50" s="63"/>
      <c r="E50" s="63"/>
      <c r="F50" s="63"/>
      <c r="G50" s="63"/>
      <c r="H50" s="63"/>
      <c r="I50" s="63"/>
      <c r="J50" s="56"/>
      <c r="K50" s="56"/>
      <c r="L50" s="56"/>
      <c r="M50" s="56"/>
    </row>
    <row r="51" spans="1:13" ht="38.25" customHeight="1">
      <c r="A51" s="54">
        <v>34</v>
      </c>
      <c r="B51" s="55" t="s">
        <v>103</v>
      </c>
      <c r="C51" s="63"/>
      <c r="D51" s="63"/>
      <c r="E51" s="63"/>
      <c r="F51" s="63"/>
      <c r="G51" s="63"/>
      <c r="H51" s="63"/>
      <c r="I51" s="63"/>
      <c r="J51" s="56"/>
      <c r="K51" s="56"/>
      <c r="L51" s="56"/>
      <c r="M51" s="56"/>
    </row>
    <row r="52" spans="1:13" ht="12.75">
      <c r="A52" s="54">
        <v>35</v>
      </c>
      <c r="B52" s="55" t="s">
        <v>115</v>
      </c>
      <c r="C52" s="63"/>
      <c r="D52" s="63"/>
      <c r="E52" s="63"/>
      <c r="F52" s="63"/>
      <c r="G52" s="63"/>
      <c r="H52" s="63"/>
      <c r="I52" s="63"/>
      <c r="J52" s="56"/>
      <c r="K52" s="56"/>
      <c r="L52" s="56"/>
      <c r="M52" s="56"/>
    </row>
    <row r="53" spans="1:13" ht="12.75">
      <c r="A53" s="54"/>
      <c r="B53" s="55" t="s">
        <v>5</v>
      </c>
      <c r="C53" s="63"/>
      <c r="D53" s="63"/>
      <c r="E53" s="63"/>
      <c r="F53" s="63"/>
      <c r="G53" s="63"/>
      <c r="H53" s="63"/>
      <c r="I53" s="63"/>
      <c r="J53" s="56"/>
      <c r="K53" s="56"/>
      <c r="L53" s="56"/>
      <c r="M53" s="56"/>
    </row>
    <row r="54" spans="1:13" ht="42" customHeight="1">
      <c r="A54" s="54">
        <v>36</v>
      </c>
      <c r="B54" s="55" t="s">
        <v>103</v>
      </c>
      <c r="C54" s="63"/>
      <c r="D54" s="63"/>
      <c r="E54" s="63"/>
      <c r="F54" s="63"/>
      <c r="G54" s="63"/>
      <c r="H54" s="63"/>
      <c r="I54" s="63"/>
      <c r="J54" s="56"/>
      <c r="K54" s="56"/>
      <c r="L54" s="56"/>
      <c r="M54" s="56"/>
    </row>
    <row r="55" spans="1:13" ht="12.75">
      <c r="A55" s="54">
        <v>37</v>
      </c>
      <c r="B55" s="55" t="s">
        <v>116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4.25">
      <c r="A56" s="54">
        <v>38</v>
      </c>
      <c r="B56" s="66" t="s">
        <v>140</v>
      </c>
      <c r="C56" s="56">
        <f aca="true" t="shared" si="11" ref="C56:M56">C58+C61+C64+C67+C68</f>
        <v>5116120</v>
      </c>
      <c r="D56" s="56">
        <f t="shared" si="11"/>
        <v>9495768</v>
      </c>
      <c r="E56" s="56">
        <f t="shared" si="11"/>
        <v>8468745</v>
      </c>
      <c r="F56" s="56">
        <f t="shared" si="11"/>
        <v>8049985</v>
      </c>
      <c r="G56" s="56">
        <f t="shared" si="11"/>
        <v>6164765</v>
      </c>
      <c r="H56" s="56">
        <f t="shared" si="11"/>
        <v>4416765</v>
      </c>
      <c r="I56" s="56">
        <f t="shared" si="11"/>
        <v>2668765</v>
      </c>
      <c r="J56" s="56">
        <f t="shared" si="11"/>
        <v>1827000</v>
      </c>
      <c r="K56" s="56">
        <f t="shared" si="11"/>
        <v>1099000</v>
      </c>
      <c r="L56" s="56">
        <f t="shared" si="11"/>
        <v>366500</v>
      </c>
      <c r="M56" s="56">
        <f t="shared" si="11"/>
        <v>0</v>
      </c>
    </row>
    <row r="57" spans="1:13" ht="12.75">
      <c r="A57" s="54"/>
      <c r="B57" s="55" t="s">
        <v>87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4" ht="12.75">
      <c r="A58" s="54">
        <v>39</v>
      </c>
      <c r="B58" s="55" t="s">
        <v>117</v>
      </c>
      <c r="C58" s="63">
        <f>C28</f>
        <v>5116120</v>
      </c>
      <c r="D58" s="63">
        <f>C58+D28-D44</f>
        <v>9495768</v>
      </c>
      <c r="E58" s="63">
        <f>D58+E28-E44</f>
        <v>8468745</v>
      </c>
      <c r="F58" s="63">
        <f>E58+F28-F44</f>
        <v>8049985</v>
      </c>
      <c r="G58" s="63">
        <f aca="true" t="shared" si="12" ref="G58:M58">F58+G28-G44</f>
        <v>6164765</v>
      </c>
      <c r="H58" s="63">
        <f t="shared" si="12"/>
        <v>4416765</v>
      </c>
      <c r="I58" s="63">
        <f t="shared" si="12"/>
        <v>2668765</v>
      </c>
      <c r="J58" s="63">
        <f t="shared" si="12"/>
        <v>1827000</v>
      </c>
      <c r="K58" s="63">
        <f t="shared" si="12"/>
        <v>1099000</v>
      </c>
      <c r="L58" s="63">
        <f t="shared" si="12"/>
        <v>366500</v>
      </c>
      <c r="M58" s="63">
        <f t="shared" si="12"/>
        <v>0</v>
      </c>
      <c r="N58" s="164"/>
    </row>
    <row r="59" spans="1:13" ht="12.75">
      <c r="A59" s="54"/>
      <c r="B59" s="55" t="s">
        <v>5</v>
      </c>
      <c r="C59" s="63"/>
      <c r="D59" s="63"/>
      <c r="E59" s="63"/>
      <c r="F59" s="63"/>
      <c r="G59" s="63"/>
      <c r="H59" s="63"/>
      <c r="I59" s="63"/>
      <c r="J59" s="56"/>
      <c r="K59" s="56"/>
      <c r="L59" s="56"/>
      <c r="M59" s="56"/>
    </row>
    <row r="60" spans="1:13" ht="42.75" customHeight="1">
      <c r="A60" s="54">
        <v>40</v>
      </c>
      <c r="B60" s="55" t="s">
        <v>103</v>
      </c>
      <c r="C60" s="63">
        <f>C30</f>
        <v>0</v>
      </c>
      <c r="D60" s="63">
        <f>D30</f>
        <v>916663.93</v>
      </c>
      <c r="E60" s="63">
        <v>1050000</v>
      </c>
      <c r="F60" s="63">
        <f>E60-F46+F30</f>
        <v>963000</v>
      </c>
      <c r="G60" s="63">
        <f aca="true" t="shared" si="13" ref="G60:M60">F60-G46+G30</f>
        <v>847000</v>
      </c>
      <c r="H60" s="63">
        <f t="shared" si="13"/>
        <v>731000</v>
      </c>
      <c r="I60" s="63">
        <f t="shared" si="13"/>
        <v>615000</v>
      </c>
      <c r="J60" s="63">
        <f t="shared" si="13"/>
        <v>499000</v>
      </c>
      <c r="K60" s="63">
        <f t="shared" si="13"/>
        <v>383000</v>
      </c>
      <c r="L60" s="63">
        <f t="shared" si="13"/>
        <v>262500</v>
      </c>
      <c r="M60" s="63">
        <f t="shared" si="13"/>
        <v>0</v>
      </c>
    </row>
    <row r="61" spans="1:13" ht="12.75">
      <c r="A61" s="54">
        <v>41</v>
      </c>
      <c r="B61" s="55" t="s">
        <v>118</v>
      </c>
      <c r="C61" s="63"/>
      <c r="D61" s="63"/>
      <c r="E61" s="63"/>
      <c r="F61" s="63"/>
      <c r="G61" s="63"/>
      <c r="H61" s="63"/>
      <c r="I61" s="63"/>
      <c r="J61" s="56"/>
      <c r="K61" s="56"/>
      <c r="L61" s="56"/>
      <c r="M61" s="56"/>
    </row>
    <row r="62" spans="1:13" ht="12.75">
      <c r="A62" s="54"/>
      <c r="B62" s="55" t="s">
        <v>5</v>
      </c>
      <c r="C62" s="63"/>
      <c r="D62" s="63"/>
      <c r="E62" s="63"/>
      <c r="F62" s="63"/>
      <c r="G62" s="63"/>
      <c r="H62" s="63"/>
      <c r="I62" s="63"/>
      <c r="J62" s="56"/>
      <c r="K62" s="56"/>
      <c r="L62" s="56"/>
      <c r="M62" s="56"/>
    </row>
    <row r="63" spans="1:13" ht="38.25" customHeight="1">
      <c r="A63" s="54">
        <v>42</v>
      </c>
      <c r="B63" s="55" t="s">
        <v>103</v>
      </c>
      <c r="C63" s="63"/>
      <c r="D63" s="63"/>
      <c r="E63" s="63"/>
      <c r="F63" s="63"/>
      <c r="G63" s="63"/>
      <c r="H63" s="63"/>
      <c r="I63" s="63"/>
      <c r="J63" s="56"/>
      <c r="K63" s="56"/>
      <c r="L63" s="56"/>
      <c r="M63" s="56"/>
    </row>
    <row r="64" spans="1:13" ht="12.75">
      <c r="A64" s="54">
        <v>43</v>
      </c>
      <c r="B64" s="55" t="s">
        <v>119</v>
      </c>
      <c r="C64" s="63"/>
      <c r="D64" s="63"/>
      <c r="E64" s="63"/>
      <c r="F64" s="63"/>
      <c r="G64" s="63"/>
      <c r="H64" s="63"/>
      <c r="I64" s="63"/>
      <c r="J64" s="56"/>
      <c r="K64" s="56"/>
      <c r="L64" s="56"/>
      <c r="M64" s="56"/>
    </row>
    <row r="65" spans="1:13" ht="12.75">
      <c r="A65" s="54"/>
      <c r="B65" s="55" t="s">
        <v>5</v>
      </c>
      <c r="C65" s="63"/>
      <c r="D65" s="63"/>
      <c r="E65" s="63"/>
      <c r="F65" s="63"/>
      <c r="G65" s="63"/>
      <c r="H65" s="63"/>
      <c r="I65" s="63"/>
      <c r="J65" s="56"/>
      <c r="K65" s="56"/>
      <c r="L65" s="56"/>
      <c r="M65" s="56"/>
    </row>
    <row r="66" spans="1:13" ht="40.5" customHeight="1">
      <c r="A66" s="54">
        <v>44</v>
      </c>
      <c r="B66" s="55" t="s">
        <v>103</v>
      </c>
      <c r="C66" s="63"/>
      <c r="D66" s="63"/>
      <c r="E66" s="63"/>
      <c r="F66" s="63"/>
      <c r="G66" s="63"/>
      <c r="H66" s="63"/>
      <c r="I66" s="63"/>
      <c r="J66" s="56"/>
      <c r="K66" s="56"/>
      <c r="L66" s="56"/>
      <c r="M66" s="56"/>
    </row>
    <row r="67" spans="1:13" ht="14.25">
      <c r="A67" s="54">
        <v>45</v>
      </c>
      <c r="B67" s="55" t="s">
        <v>141</v>
      </c>
      <c r="C67" s="63"/>
      <c r="D67" s="63"/>
      <c r="E67" s="63"/>
      <c r="F67" s="63"/>
      <c r="G67" s="63"/>
      <c r="H67" s="63"/>
      <c r="I67" s="63"/>
      <c r="J67" s="56"/>
      <c r="K67" s="56"/>
      <c r="L67" s="56"/>
      <c r="M67" s="56"/>
    </row>
    <row r="68" spans="1:13" ht="12.75">
      <c r="A68" s="54">
        <v>46</v>
      </c>
      <c r="B68" s="55" t="s">
        <v>120</v>
      </c>
      <c r="C68" s="63"/>
      <c r="D68" s="63"/>
      <c r="E68" s="63"/>
      <c r="F68" s="63"/>
      <c r="G68" s="63"/>
      <c r="H68" s="63"/>
      <c r="I68" s="63"/>
      <c r="J68" s="56"/>
      <c r="K68" s="56"/>
      <c r="L68" s="56"/>
      <c r="M68" s="56"/>
    </row>
    <row r="69" spans="1:13" ht="12.75">
      <c r="A69" s="54"/>
      <c r="B69" s="55" t="s">
        <v>5</v>
      </c>
      <c r="C69" s="63"/>
      <c r="D69" s="63"/>
      <c r="E69" s="63"/>
      <c r="F69" s="63"/>
      <c r="G69" s="63"/>
      <c r="H69" s="63"/>
      <c r="I69" s="63"/>
      <c r="J69" s="56"/>
      <c r="K69" s="56"/>
      <c r="L69" s="56"/>
      <c r="M69" s="56"/>
    </row>
    <row r="70" spans="1:13" ht="12.75">
      <c r="A70" s="54">
        <v>47</v>
      </c>
      <c r="B70" s="55" t="s">
        <v>121</v>
      </c>
      <c r="C70" s="63"/>
      <c r="D70" s="63"/>
      <c r="E70" s="63"/>
      <c r="F70" s="63"/>
      <c r="G70" s="63"/>
      <c r="H70" s="63"/>
      <c r="I70" s="63"/>
      <c r="J70" s="56"/>
      <c r="K70" s="56"/>
      <c r="L70" s="56"/>
      <c r="M70" s="56"/>
    </row>
    <row r="71" spans="1:14" ht="12.75">
      <c r="A71" s="54">
        <v>48</v>
      </c>
      <c r="B71" s="55" t="s">
        <v>122</v>
      </c>
      <c r="C71" s="63"/>
      <c r="D71" s="63">
        <v>970505</v>
      </c>
      <c r="E71" s="63">
        <f>798727-123264</f>
        <v>675463</v>
      </c>
      <c r="F71" s="63">
        <f>E71-F22</f>
        <v>463860</v>
      </c>
      <c r="G71" s="63">
        <f aca="true" t="shared" si="14" ref="G71:M71">F71-G22</f>
        <v>334762</v>
      </c>
      <c r="H71" s="63">
        <f t="shared" si="14"/>
        <v>210608</v>
      </c>
      <c r="I71" s="63">
        <f t="shared" si="14"/>
        <v>97232</v>
      </c>
      <c r="J71" s="63">
        <f t="shared" si="14"/>
        <v>0</v>
      </c>
      <c r="K71" s="63">
        <f t="shared" si="14"/>
        <v>0</v>
      </c>
      <c r="L71" s="63">
        <f t="shared" si="14"/>
        <v>0</v>
      </c>
      <c r="M71" s="63">
        <f t="shared" si="14"/>
        <v>0</v>
      </c>
      <c r="N71" s="155"/>
    </row>
    <row r="72" spans="1:13" ht="12.75">
      <c r="A72" s="54">
        <v>49</v>
      </c>
      <c r="B72" s="55" t="s">
        <v>123</v>
      </c>
      <c r="C72" s="57">
        <f>IF(C6=0,0,C56/C6*100)</f>
        <v>14.771253193927079</v>
      </c>
      <c r="D72" s="57">
        <f aca="true" t="shared" si="15" ref="D72:I72">IF(D6=0,0,D56/D6*100)</f>
        <v>21.47951528822885</v>
      </c>
      <c r="E72" s="57">
        <f t="shared" si="15"/>
        <v>18.73828655878098</v>
      </c>
      <c r="F72" s="57">
        <f t="shared" si="15"/>
        <v>18.692215404569026</v>
      </c>
      <c r="G72" s="57">
        <f t="shared" si="15"/>
        <v>14.269200823224606</v>
      </c>
      <c r="H72" s="57">
        <f t="shared" si="15"/>
        <v>10.025032949323172</v>
      </c>
      <c r="I72" s="57">
        <f t="shared" si="15"/>
        <v>5.940025786867338</v>
      </c>
      <c r="J72" s="57">
        <f>IF(J6=0,0,J56/J6*100)</f>
        <v>3.98759599382505</v>
      </c>
      <c r="K72" s="57">
        <f>IF(K6=0,0,K56/K6*100)</f>
        <v>2.352139441812485</v>
      </c>
      <c r="L72" s="57">
        <f>IF(L6=0,0,L56/L6*100)</f>
        <v>0.7691841319718089</v>
      </c>
      <c r="M72" s="57">
        <f>IF(M6=0,0,M56/M6*100)</f>
        <v>0</v>
      </c>
    </row>
    <row r="73" spans="1:13" ht="25.5">
      <c r="A73" s="54">
        <v>50</v>
      </c>
      <c r="B73" s="55" t="s">
        <v>124</v>
      </c>
      <c r="C73" s="57">
        <f aca="true" t="shared" si="16" ref="C73:I73">(C56-C60-C63-C66)/C6*100</f>
        <v>14.771253193927079</v>
      </c>
      <c r="D73" s="57">
        <f t="shared" si="16"/>
        <v>19.406012976609304</v>
      </c>
      <c r="E73" s="57">
        <f t="shared" si="16"/>
        <v>16.415014233693846</v>
      </c>
      <c r="F73" s="57">
        <f t="shared" si="16"/>
        <v>16.45611143237529</v>
      </c>
      <c r="G73" s="57">
        <f t="shared" si="16"/>
        <v>12.30870223207454</v>
      </c>
      <c r="H73" s="57">
        <f t="shared" si="16"/>
        <v>8.365832361119988</v>
      </c>
      <c r="I73" s="57">
        <f t="shared" si="16"/>
        <v>4.5711844468005225</v>
      </c>
      <c r="J73" s="57">
        <f>(J56-J60-J63-J66)/J6*100</f>
        <v>2.898482473891443</v>
      </c>
      <c r="K73" s="57">
        <f>(K56-K60-K63-K66)/K6*100</f>
        <v>1.5324220567222375</v>
      </c>
      <c r="L73" s="57">
        <f>(L56-L60-L63-L66)/L6*100</f>
        <v>0.21826780279691171</v>
      </c>
      <c r="M73" s="57">
        <f>(M56-M60-M63-M66)/M6*100</f>
        <v>0</v>
      </c>
    </row>
    <row r="74" spans="1:13" ht="25.5">
      <c r="A74" s="54">
        <v>51</v>
      </c>
      <c r="B74" s="55" t="s">
        <v>125</v>
      </c>
      <c r="C74" s="57">
        <f aca="true" t="shared" si="17" ref="C74:I74">C56/(C10+C13-C16)*100</f>
        <v>27.152638671976277</v>
      </c>
      <c r="D74" s="57">
        <f t="shared" si="17"/>
        <v>41.84607598359476</v>
      </c>
      <c r="E74" s="57">
        <f t="shared" si="17"/>
        <v>36.246078091785336</v>
      </c>
      <c r="F74" s="57">
        <f t="shared" si="17"/>
        <v>35.57965891640069</v>
      </c>
      <c r="G74" s="57">
        <f t="shared" si="17"/>
        <v>26.72460481288641</v>
      </c>
      <c r="H74" s="57">
        <f t="shared" si="17"/>
        <v>18.77947744676112</v>
      </c>
      <c r="I74" s="57">
        <f t="shared" si="17"/>
        <v>11.129366530858755</v>
      </c>
      <c r="J74" s="57">
        <f>J56/(J10+J13-J16)*100</f>
        <v>7.4726748160549725</v>
      </c>
      <c r="K74" s="57">
        <f>K56/(K10+K13-K16)*100</f>
        <v>4.4086867419445</v>
      </c>
      <c r="L74" s="57">
        <f>L56/(L10+L13-L16)*100</f>
        <v>1.4419698926630857</v>
      </c>
      <c r="M74" s="57">
        <f>M56/(M10+M13-M16)*100</f>
        <v>0</v>
      </c>
    </row>
    <row r="75" spans="1:13" ht="38.25">
      <c r="A75" s="54">
        <v>52</v>
      </c>
      <c r="B75" s="55" t="s">
        <v>126</v>
      </c>
      <c r="C75" s="57">
        <f aca="true" t="shared" si="18" ref="C75:I75">(C56-C60-C63-C66)/(C10+C13-C16)*100</f>
        <v>27.152638671976277</v>
      </c>
      <c r="D75" s="57">
        <f t="shared" si="18"/>
        <v>37.80650925595349</v>
      </c>
      <c r="E75" s="57">
        <f t="shared" si="18"/>
        <v>31.752096752593445</v>
      </c>
      <c r="F75" s="57">
        <f t="shared" si="18"/>
        <v>31.32335141564213</v>
      </c>
      <c r="G75" s="57">
        <f t="shared" si="18"/>
        <v>23.052811925969422</v>
      </c>
      <c r="H75" s="57">
        <f t="shared" si="18"/>
        <v>15.671365963903783</v>
      </c>
      <c r="I75" s="57">
        <f t="shared" si="18"/>
        <v>8.564674466747404</v>
      </c>
      <c r="J75" s="57">
        <f>(J56-J60-J63-J66)/(J10+J13-J16)*100</f>
        <v>5.431697950586209</v>
      </c>
      <c r="K75" s="57">
        <f>(K56-K60-K63-K66)/(K10+K13-K16)*100</f>
        <v>2.8722654296926864</v>
      </c>
      <c r="L75" s="57">
        <f>(L56-L60-L63-L66)/(L10+L13-L16)*100</f>
        <v>0.4091810882318169</v>
      </c>
      <c r="M75" s="57">
        <f>(M56-M60-M63-M66)/(M10+M13-M16)*100</f>
        <v>0</v>
      </c>
    </row>
    <row r="76" spans="1:13" ht="14.25">
      <c r="A76" s="54">
        <v>53</v>
      </c>
      <c r="B76" s="66" t="s">
        <v>142</v>
      </c>
      <c r="C76" s="56">
        <f aca="true" t="shared" si="19" ref="C76:M76">C78+C81+C84+C87</f>
        <v>0</v>
      </c>
      <c r="D76" s="56">
        <f>D78+D81+D84+D87</f>
        <v>1405789.81</v>
      </c>
      <c r="E76" s="56">
        <f>E78+E81+E84+E87</f>
        <v>1855822</v>
      </c>
      <c r="F76" s="56">
        <f t="shared" si="19"/>
        <v>2169128</v>
      </c>
      <c r="G76" s="56">
        <f t="shared" si="19"/>
        <v>2354318</v>
      </c>
      <c r="H76" s="56">
        <f t="shared" si="19"/>
        <v>2132154</v>
      </c>
      <c r="I76" s="56">
        <f t="shared" si="19"/>
        <v>2061376</v>
      </c>
      <c r="J76" s="56">
        <f t="shared" si="19"/>
        <v>1048997</v>
      </c>
      <c r="K76" s="56">
        <f t="shared" si="19"/>
        <v>818000</v>
      </c>
      <c r="L76" s="56">
        <f t="shared" si="19"/>
        <v>777500</v>
      </c>
      <c r="M76" s="56">
        <f t="shared" si="19"/>
        <v>384161</v>
      </c>
    </row>
    <row r="77" spans="1:13" ht="15" customHeight="1">
      <c r="A77" s="54"/>
      <c r="B77" s="55" t="s">
        <v>127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2.75">
      <c r="A78" s="54">
        <v>54</v>
      </c>
      <c r="B78" s="55" t="s">
        <v>128</v>
      </c>
      <c r="C78" s="63"/>
      <c r="D78" s="63">
        <f aca="true" t="shared" si="20" ref="D78:M78">D21+D44</f>
        <v>1405789.81</v>
      </c>
      <c r="E78" s="63">
        <f>E21+E44</f>
        <v>1806859</v>
      </c>
      <c r="F78" s="63">
        <f>F21+F44</f>
        <v>1957525</v>
      </c>
      <c r="G78" s="63">
        <f t="shared" si="20"/>
        <v>2225220</v>
      </c>
      <c r="H78" s="63">
        <f t="shared" si="20"/>
        <v>2008000</v>
      </c>
      <c r="I78" s="63">
        <f t="shared" si="20"/>
        <v>1948000</v>
      </c>
      <c r="J78" s="63">
        <f t="shared" si="20"/>
        <v>951765</v>
      </c>
      <c r="K78" s="63">
        <f t="shared" si="20"/>
        <v>818000</v>
      </c>
      <c r="L78" s="63">
        <f t="shared" si="20"/>
        <v>777500</v>
      </c>
      <c r="M78" s="63">
        <f t="shared" si="20"/>
        <v>384161</v>
      </c>
    </row>
    <row r="79" spans="1:13" ht="12.75">
      <c r="A79" s="54"/>
      <c r="B79" s="55" t="s">
        <v>5</v>
      </c>
      <c r="C79" s="63"/>
      <c r="D79" s="63"/>
      <c r="E79" s="63"/>
      <c r="F79" s="63"/>
      <c r="G79" s="63"/>
      <c r="H79" s="63"/>
      <c r="I79" s="63"/>
      <c r="J79" s="56"/>
      <c r="K79" s="56"/>
      <c r="L79" s="56"/>
      <c r="M79" s="56"/>
    </row>
    <row r="80" spans="1:13" ht="39" customHeight="1">
      <c r="A80" s="54">
        <v>55</v>
      </c>
      <c r="B80" s="55" t="s">
        <v>103</v>
      </c>
      <c r="C80" s="63"/>
      <c r="D80" s="63"/>
      <c r="E80" s="63">
        <v>42000</v>
      </c>
      <c r="F80" s="63">
        <f>87000+41228</f>
        <v>128228</v>
      </c>
      <c r="G80" s="63">
        <f>116000+36756</f>
        <v>152756</v>
      </c>
      <c r="H80" s="63">
        <f>116000+32116</f>
        <v>148116</v>
      </c>
      <c r="I80" s="63">
        <f>116000+27476</f>
        <v>143476</v>
      </c>
      <c r="J80" s="56">
        <f>116000+22904</f>
        <v>138904</v>
      </c>
      <c r="K80" s="56">
        <f>116000+18196</f>
        <v>134196</v>
      </c>
      <c r="L80" s="56">
        <f>120500+13556</f>
        <v>134056</v>
      </c>
      <c r="M80" s="56">
        <f>262500+2560</f>
        <v>265060</v>
      </c>
    </row>
    <row r="81" spans="1:13" ht="12.75">
      <c r="A81" s="54">
        <v>56</v>
      </c>
      <c r="B81" s="55" t="s">
        <v>129</v>
      </c>
      <c r="C81" s="63"/>
      <c r="D81" s="63"/>
      <c r="E81" s="63"/>
      <c r="F81" s="63"/>
      <c r="G81" s="63"/>
      <c r="H81" s="63"/>
      <c r="I81" s="63"/>
      <c r="J81" s="56"/>
      <c r="K81" s="56"/>
      <c r="L81" s="56"/>
      <c r="M81" s="56"/>
    </row>
    <row r="82" spans="1:13" ht="12.75">
      <c r="A82" s="54"/>
      <c r="B82" s="55" t="s">
        <v>5</v>
      </c>
      <c r="C82" s="63"/>
      <c r="D82" s="63"/>
      <c r="E82" s="56"/>
      <c r="F82" s="56"/>
      <c r="G82" s="56"/>
      <c r="H82" s="56"/>
      <c r="I82" s="56"/>
      <c r="J82" s="56"/>
      <c r="K82" s="56"/>
      <c r="L82" s="56">
        <f>L76-L78</f>
        <v>0</v>
      </c>
      <c r="M82" s="56"/>
    </row>
    <row r="83" spans="1:13" ht="36.75" customHeight="1">
      <c r="A83" s="54">
        <v>57</v>
      </c>
      <c r="B83" s="55" t="s">
        <v>103</v>
      </c>
      <c r="C83" s="63"/>
      <c r="D83" s="63"/>
      <c r="E83" s="63"/>
      <c r="F83" s="63"/>
      <c r="G83" s="63"/>
      <c r="H83" s="63"/>
      <c r="I83" s="63"/>
      <c r="J83" s="56"/>
      <c r="K83" s="56"/>
      <c r="L83" s="56"/>
      <c r="M83" s="56"/>
    </row>
    <row r="84" spans="1:13" ht="12.75">
      <c r="A84" s="54">
        <v>58</v>
      </c>
      <c r="B84" s="55" t="s">
        <v>130</v>
      </c>
      <c r="C84" s="63"/>
      <c r="D84" s="63"/>
      <c r="E84" s="63"/>
      <c r="F84" s="63"/>
      <c r="G84" s="63"/>
      <c r="H84" s="63"/>
      <c r="I84" s="63"/>
      <c r="J84" s="56"/>
      <c r="K84" s="56"/>
      <c r="L84" s="56"/>
      <c r="M84" s="56"/>
    </row>
    <row r="85" spans="1:13" ht="12.75">
      <c r="A85" s="54"/>
      <c r="B85" s="55" t="s">
        <v>5</v>
      </c>
      <c r="C85" s="63"/>
      <c r="D85" s="63"/>
      <c r="E85" s="63"/>
      <c r="F85" s="63"/>
      <c r="G85" s="63"/>
      <c r="H85" s="63"/>
      <c r="I85" s="63"/>
      <c r="J85" s="56"/>
      <c r="K85" s="56"/>
      <c r="L85" s="56"/>
      <c r="M85" s="56"/>
    </row>
    <row r="86" spans="1:13" ht="41.25" customHeight="1">
      <c r="A86" s="54">
        <v>59</v>
      </c>
      <c r="B86" s="55" t="s">
        <v>103</v>
      </c>
      <c r="C86" s="63"/>
      <c r="D86" s="63"/>
      <c r="E86" s="63"/>
      <c r="F86" s="63"/>
      <c r="G86" s="63"/>
      <c r="H86" s="63"/>
      <c r="I86" s="63"/>
      <c r="J86" s="56"/>
      <c r="K86" s="56"/>
      <c r="L86" s="56"/>
      <c r="M86" s="56"/>
    </row>
    <row r="87" spans="1:13" ht="13.5" customHeight="1">
      <c r="A87" s="54">
        <v>60</v>
      </c>
      <c r="B87" s="55" t="s">
        <v>143</v>
      </c>
      <c r="C87" s="63">
        <v>0</v>
      </c>
      <c r="D87" s="63">
        <v>0</v>
      </c>
      <c r="E87" s="63">
        <f>E22</f>
        <v>48963</v>
      </c>
      <c r="F87" s="63">
        <v>211603</v>
      </c>
      <c r="G87" s="63">
        <v>129098</v>
      </c>
      <c r="H87" s="63">
        <v>124154</v>
      </c>
      <c r="I87" s="63">
        <v>113376</v>
      </c>
      <c r="J87" s="156">
        <v>97232</v>
      </c>
      <c r="K87" s="56"/>
      <c r="L87" s="56"/>
      <c r="M87" s="56"/>
    </row>
    <row r="88" spans="1:13" ht="12.75">
      <c r="A88" s="54">
        <v>61</v>
      </c>
      <c r="B88" s="55" t="s">
        <v>131</v>
      </c>
      <c r="C88" s="64">
        <f>C76/C6*100</f>
        <v>0</v>
      </c>
      <c r="D88" s="64">
        <f aca="true" t="shared" si="21" ref="D88:M88">D76/D6*100</f>
        <v>3.1799095887695796</v>
      </c>
      <c r="E88" s="64">
        <f t="shared" si="21"/>
        <v>4.1062665646550975</v>
      </c>
      <c r="F88" s="64">
        <f t="shared" si="21"/>
        <v>5.036755697815835</v>
      </c>
      <c r="G88" s="64">
        <f t="shared" si="21"/>
        <v>5.449394477118351</v>
      </c>
      <c r="H88" s="64">
        <f t="shared" si="21"/>
        <v>4.839495445882043</v>
      </c>
      <c r="I88" s="64">
        <f t="shared" si="21"/>
        <v>4.588124693043203</v>
      </c>
      <c r="J88" s="64">
        <f t="shared" si="21"/>
        <v>2.289532695530649</v>
      </c>
      <c r="K88" s="64">
        <f t="shared" si="21"/>
        <v>1.7507279921770817</v>
      </c>
      <c r="L88" s="64">
        <f t="shared" si="21"/>
        <v>1.6317616987942196</v>
      </c>
      <c r="M88" s="64">
        <f t="shared" si="21"/>
        <v>0.790603636143654</v>
      </c>
    </row>
    <row r="89" spans="1:13" ht="25.5">
      <c r="A89" s="54">
        <v>62</v>
      </c>
      <c r="B89" s="55" t="s">
        <v>132</v>
      </c>
      <c r="C89" s="64">
        <f aca="true" t="shared" si="22" ref="C89:I89">(C76-C80-C83-C86)/C6*100</f>
        <v>0</v>
      </c>
      <c r="D89" s="64">
        <f t="shared" si="22"/>
        <v>3.1799095887695796</v>
      </c>
      <c r="E89" s="64">
        <f t="shared" si="22"/>
        <v>4.013335671651612</v>
      </c>
      <c r="F89" s="64">
        <f t="shared" si="22"/>
        <v>4.739007888733323</v>
      </c>
      <c r="G89" s="64">
        <f t="shared" si="22"/>
        <v>5.095819597791645</v>
      </c>
      <c r="H89" s="64">
        <f t="shared" si="22"/>
        <v>4.503306452281081</v>
      </c>
      <c r="I89" s="64">
        <f t="shared" si="22"/>
        <v>4.268781798559583</v>
      </c>
      <c r="J89" s="64">
        <f>(J76-J80-J83-J86)/J6*100</f>
        <v>1.986361905204281</v>
      </c>
      <c r="K89" s="64">
        <f>(K76-K80-K83-K86)/K6*100</f>
        <v>1.4635144302721967</v>
      </c>
      <c r="L89" s="64">
        <f>(L76-L80-L83-L86)/L6*100</f>
        <v>1.3504145009890005</v>
      </c>
      <c r="M89" s="64">
        <f>(M76-M80-M83-M86)/M6*100</f>
        <v>0.2451099504331396</v>
      </c>
    </row>
    <row r="90" spans="1:13" ht="25.5">
      <c r="A90" s="54">
        <v>63</v>
      </c>
      <c r="B90" s="55" t="s">
        <v>133</v>
      </c>
      <c r="C90" s="64">
        <f aca="true" t="shared" si="23" ref="C90:I90">C76/(C10+C13-C16)*100</f>
        <v>0</v>
      </c>
      <c r="D90" s="64">
        <f t="shared" si="23"/>
        <v>6.195053123267464</v>
      </c>
      <c r="E90" s="64">
        <f t="shared" si="23"/>
        <v>7.9428851779635865</v>
      </c>
      <c r="F90" s="64">
        <f t="shared" si="23"/>
        <v>9.587202260130221</v>
      </c>
      <c r="G90" s="64">
        <f t="shared" si="23"/>
        <v>10.206101636293532</v>
      </c>
      <c r="H90" s="64">
        <f t="shared" si="23"/>
        <v>9.065625623283445</v>
      </c>
      <c r="I90" s="64">
        <f t="shared" si="23"/>
        <v>8.596414094877405</v>
      </c>
      <c r="J90" s="64">
        <f>J76/(J10+J13-J16)*100</f>
        <v>4.290538294481236</v>
      </c>
      <c r="K90" s="64">
        <f>K76/(K10+K13-K16)*100</f>
        <v>3.2814429071070075</v>
      </c>
      <c r="L90" s="64">
        <f>L76/(L10+L13-L16)*100</f>
        <v>3.059022077886901</v>
      </c>
      <c r="M90" s="64">
        <f>M76/(M10+M13-M16)*100</f>
        <v>1.482391333768257</v>
      </c>
    </row>
    <row r="91" spans="1:13" ht="38.25">
      <c r="A91" s="54">
        <v>64</v>
      </c>
      <c r="B91" s="55" t="s">
        <v>134</v>
      </c>
      <c r="C91" s="64">
        <f aca="true" t="shared" si="24" ref="C91:I91">(C76-C80-C83-C86)/(C10+C13-C16)*100</f>
        <v>0</v>
      </c>
      <c r="D91" s="64">
        <f t="shared" si="24"/>
        <v>6.195053123267464</v>
      </c>
      <c r="E91" s="64">
        <f t="shared" si="24"/>
        <v>7.763125924395911</v>
      </c>
      <c r="F91" s="64">
        <f t="shared" si="24"/>
        <v>9.020454806124752</v>
      </c>
      <c r="G91" s="64">
        <f t="shared" si="24"/>
        <v>9.543895739913497</v>
      </c>
      <c r="H91" s="64">
        <f t="shared" si="24"/>
        <v>8.435856758174147</v>
      </c>
      <c r="I91" s="64">
        <f t="shared" si="24"/>
        <v>7.998086032128722</v>
      </c>
      <c r="J91" s="64">
        <f>(J76-J80-J83-J86)/(J10+J13-J16)*100</f>
        <v>3.7224023214931132</v>
      </c>
      <c r="K91" s="64">
        <f>(K76-K80-K83-K86)/(K10+K13-K16)*100</f>
        <v>2.7431097624100245</v>
      </c>
      <c r="L91" s="64">
        <f>(L76-L80-L83-L86)/(L10+L13-L16)*100</f>
        <v>2.531587655156089</v>
      </c>
      <c r="M91" s="64">
        <f>(M76-M80-M83-M86)/(M10+M13-M16)*100</f>
        <v>0.45958410729650634</v>
      </c>
    </row>
    <row r="92" spans="1:13" ht="76.5">
      <c r="A92" s="54">
        <v>65</v>
      </c>
      <c r="B92" s="55" t="s">
        <v>135</v>
      </c>
      <c r="C92" s="64"/>
      <c r="D92" s="64"/>
      <c r="E92" s="64"/>
      <c r="F92" s="64">
        <f aca="true" t="shared" si="25" ref="F92:M92">((C8+C15-(C19-C21))/C6+(D8+D15-(D19-D21))/D6+(E8+E15-(E19-E21))/E6)/3*100</f>
        <v>6.770714447486682</v>
      </c>
      <c r="G92" s="64">
        <f t="shared" si="25"/>
        <v>7.786459927617977</v>
      </c>
      <c r="H92" s="64">
        <f t="shared" si="25"/>
        <v>9.155527837529698</v>
      </c>
      <c r="I92" s="64">
        <f t="shared" si="25"/>
        <v>11.483475334181032</v>
      </c>
      <c r="J92" s="64">
        <f t="shared" si="25"/>
        <v>13.382390281850196</v>
      </c>
      <c r="K92" s="64">
        <f t="shared" si="25"/>
        <v>12.641327998983126</v>
      </c>
      <c r="L92" s="64">
        <f t="shared" si="25"/>
        <v>11.899234586286374</v>
      </c>
      <c r="M92" s="64">
        <f t="shared" si="25"/>
        <v>11.132465647342276</v>
      </c>
    </row>
    <row r="93" spans="1:13" ht="25.5">
      <c r="A93" s="54">
        <v>66</v>
      </c>
      <c r="B93" s="55" t="s">
        <v>136</v>
      </c>
      <c r="C93" s="63">
        <f aca="true" t="shared" si="26" ref="C93:I93">C8-C19</f>
        <v>1255672</v>
      </c>
      <c r="D93" s="63">
        <f t="shared" si="26"/>
        <v>3475293.1499999985</v>
      </c>
      <c r="E93" s="63">
        <f t="shared" si="26"/>
        <v>391375</v>
      </c>
      <c r="F93" s="63">
        <f t="shared" si="26"/>
        <v>2369235</v>
      </c>
      <c r="G93" s="63">
        <f t="shared" si="26"/>
        <v>5022419.520000003</v>
      </c>
      <c r="H93" s="63">
        <f t="shared" si="26"/>
        <v>5095144.4304000065</v>
      </c>
      <c r="I93" s="63">
        <f t="shared" si="26"/>
        <v>5270086.539008006</v>
      </c>
      <c r="J93" s="63">
        <f>J8-J19</f>
        <v>4588494.449788161</v>
      </c>
      <c r="K93" s="63">
        <f>K8-K19</f>
        <v>4579264.618783928</v>
      </c>
      <c r="L93" s="63">
        <f>L8-L19</f>
        <v>4690389.311159611</v>
      </c>
      <c r="M93" s="63">
        <f>M8-M19</f>
        <v>4413546.8773828</v>
      </c>
    </row>
    <row r="95" ht="14.25">
      <c r="A95" s="68"/>
    </row>
    <row r="96" spans="1:9" ht="14.25">
      <c r="A96" s="211"/>
      <c r="B96" s="212"/>
      <c r="C96" s="212"/>
      <c r="D96" s="212"/>
      <c r="E96" s="212"/>
      <c r="F96" s="212"/>
      <c r="G96" s="212"/>
      <c r="H96" s="212"/>
      <c r="I96" s="212"/>
    </row>
    <row r="97" ht="14.25">
      <c r="A97" s="68"/>
    </row>
    <row r="98" spans="1:9" ht="53.25" customHeight="1">
      <c r="A98" s="211"/>
      <c r="B98" s="212"/>
      <c r="C98" s="212"/>
      <c r="D98" s="212"/>
      <c r="E98" s="212"/>
      <c r="F98" s="212"/>
      <c r="G98" s="212"/>
      <c r="H98" s="212"/>
      <c r="I98" s="212"/>
    </row>
    <row r="99" ht="14.25">
      <c r="A99" s="69"/>
    </row>
    <row r="100" ht="14.25">
      <c r="A100" s="69"/>
    </row>
    <row r="101" ht="12.75">
      <c r="G101" s="71"/>
    </row>
    <row r="102" ht="25.5" customHeight="1">
      <c r="G102" s="72"/>
    </row>
  </sheetData>
  <sheetProtection/>
  <mergeCells count="7">
    <mergeCell ref="A1:M1"/>
    <mergeCell ref="A96:I96"/>
    <mergeCell ref="A98:I98"/>
    <mergeCell ref="A3:A4"/>
    <mergeCell ref="B3:B4"/>
    <mergeCell ref="C3:D3"/>
    <mergeCell ref="E3:M3"/>
  </mergeCells>
  <printOptions/>
  <pageMargins left="0.35" right="0.31" top="0.64" bottom="0.2" header="0.41" footer="0.5118110236220472"/>
  <pageSetup fitToHeight="4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tabSelected="1" view="pageBreakPreview" zoomScaleSheetLayoutView="100" zoomScalePageLayoutView="0" workbookViewId="0" topLeftCell="D76">
      <selection activeCell="K101" sqref="K101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4" width="14.375" style="1" customWidth="1"/>
    <col min="5" max="5" width="14.00390625" style="1" customWidth="1"/>
    <col min="6" max="6" width="14.875" style="1" customWidth="1"/>
    <col min="7" max="7" width="13.625" style="1" customWidth="1"/>
    <col min="8" max="8" width="13.375" style="1" customWidth="1"/>
    <col min="9" max="10" width="10.75390625" style="1" customWidth="1"/>
    <col min="11" max="11" width="14.25390625" style="1" customWidth="1"/>
  </cols>
  <sheetData>
    <row r="1" spans="8:11" ht="12.75" customHeight="1">
      <c r="H1" s="182" t="s">
        <v>540</v>
      </c>
      <c r="I1" s="182"/>
      <c r="J1" s="182"/>
      <c r="K1" s="182"/>
    </row>
    <row r="2" spans="8:11" ht="12.75">
      <c r="H2" s="182"/>
      <c r="I2" s="182"/>
      <c r="J2" s="182"/>
      <c r="K2" s="182"/>
    </row>
    <row r="3" spans="8:11" ht="12.75">
      <c r="H3" s="182"/>
      <c r="I3" s="182"/>
      <c r="J3" s="182"/>
      <c r="K3" s="182"/>
    </row>
    <row r="4" spans="1:11" ht="18">
      <c r="A4" s="183" t="s">
        <v>519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6" ht="18">
      <c r="A5" s="2"/>
      <c r="B5" s="2"/>
      <c r="C5" s="2"/>
      <c r="D5" s="2"/>
      <c r="E5" s="2"/>
      <c r="F5" s="2"/>
    </row>
    <row r="6" spans="1:11" ht="12.75">
      <c r="A6" s="18"/>
      <c r="B6" s="18"/>
      <c r="C6" s="18"/>
      <c r="D6" s="18"/>
      <c r="E6" s="18"/>
      <c r="G6" s="7"/>
      <c r="H6" s="7"/>
      <c r="I6" s="7"/>
      <c r="J6" s="7"/>
      <c r="K6" s="19" t="s">
        <v>16</v>
      </c>
    </row>
    <row r="7" spans="1:11" s="20" customFormat="1" ht="18.75" customHeight="1">
      <c r="A7" s="181" t="s">
        <v>1</v>
      </c>
      <c r="B7" s="181" t="s">
        <v>2</v>
      </c>
      <c r="C7" s="181" t="s">
        <v>9</v>
      </c>
      <c r="D7" s="181" t="s">
        <v>47</v>
      </c>
      <c r="E7" s="181" t="s">
        <v>5</v>
      </c>
      <c r="F7" s="181"/>
      <c r="G7" s="181"/>
      <c r="H7" s="181"/>
      <c r="I7" s="181"/>
      <c r="J7" s="181"/>
      <c r="K7" s="181"/>
    </row>
    <row r="8" spans="1:11" s="20" customFormat="1" ht="20.25" customHeight="1">
      <c r="A8" s="181"/>
      <c r="B8" s="181"/>
      <c r="C8" s="181"/>
      <c r="D8" s="181"/>
      <c r="E8" s="181" t="s">
        <v>11</v>
      </c>
      <c r="F8" s="181" t="s">
        <v>23</v>
      </c>
      <c r="G8" s="181"/>
      <c r="H8" s="181"/>
      <c r="I8" s="181"/>
      <c r="J8" s="181"/>
      <c r="K8" s="181" t="s">
        <v>12</v>
      </c>
    </row>
    <row r="9" spans="1:11" s="20" customFormat="1" ht="63.75">
      <c r="A9" s="181"/>
      <c r="B9" s="181"/>
      <c r="C9" s="181"/>
      <c r="D9" s="181"/>
      <c r="E9" s="181"/>
      <c r="F9" s="23" t="s">
        <v>28</v>
      </c>
      <c r="G9" s="23" t="s">
        <v>29</v>
      </c>
      <c r="H9" s="23" t="s">
        <v>24</v>
      </c>
      <c r="I9" s="23" t="s">
        <v>26</v>
      </c>
      <c r="J9" s="23" t="s">
        <v>27</v>
      </c>
      <c r="K9" s="181"/>
    </row>
    <row r="10" spans="1:11" s="20" customFormat="1" ht="6" customHeight="1">
      <c r="A10" s="162">
        <v>1</v>
      </c>
      <c r="B10" s="162">
        <v>2</v>
      </c>
      <c r="C10" s="162">
        <v>3</v>
      </c>
      <c r="D10" s="162">
        <v>4</v>
      </c>
      <c r="E10" s="162">
        <v>5</v>
      </c>
      <c r="F10" s="162">
        <v>6</v>
      </c>
      <c r="G10" s="162">
        <v>7</v>
      </c>
      <c r="H10" s="162">
        <v>8</v>
      </c>
      <c r="I10" s="162">
        <v>9</v>
      </c>
      <c r="J10" s="162">
        <v>10</v>
      </c>
      <c r="K10" s="162">
        <v>11</v>
      </c>
    </row>
    <row r="11" spans="1:11" s="20" customFormat="1" ht="12.75">
      <c r="A11" s="179" t="s">
        <v>198</v>
      </c>
      <c r="B11" s="99"/>
      <c r="C11" s="100" t="s">
        <v>199</v>
      </c>
      <c r="D11" s="101">
        <f>D12+D14+D15+D16+D17+D13</f>
        <v>995500</v>
      </c>
      <c r="E11" s="101">
        <f aca="true" t="shared" si="0" ref="E11:K11">E12+E14+E15+E16+E17+E13</f>
        <v>379500</v>
      </c>
      <c r="F11" s="101">
        <f t="shared" si="0"/>
        <v>0</v>
      </c>
      <c r="G11" s="101">
        <f t="shared" si="0"/>
        <v>0</v>
      </c>
      <c r="H11" s="101">
        <f t="shared" si="0"/>
        <v>0</v>
      </c>
      <c r="I11" s="101">
        <f t="shared" si="0"/>
        <v>0</v>
      </c>
      <c r="J11" s="101">
        <f t="shared" si="0"/>
        <v>0</v>
      </c>
      <c r="K11" s="101">
        <f t="shared" si="0"/>
        <v>616000</v>
      </c>
    </row>
    <row r="12" spans="1:11" s="20" customFormat="1" ht="12.75">
      <c r="A12" s="179"/>
      <c r="B12" s="102" t="s">
        <v>324</v>
      </c>
      <c r="C12" s="103" t="s">
        <v>325</v>
      </c>
      <c r="D12" s="104">
        <f>E12+K12</f>
        <v>5000</v>
      </c>
      <c r="E12" s="104">
        <v>5000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</row>
    <row r="13" spans="1:11" s="20" customFormat="1" ht="12.75">
      <c r="A13" s="179"/>
      <c r="B13" s="105" t="s">
        <v>510</v>
      </c>
      <c r="C13" s="103" t="s">
        <v>468</v>
      </c>
      <c r="D13" s="104">
        <f>E13+K13</f>
        <v>300000</v>
      </c>
      <c r="E13" s="104">
        <v>300000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</row>
    <row r="14" spans="1:11" s="20" customFormat="1" ht="25.5">
      <c r="A14" s="179"/>
      <c r="B14" s="105" t="s">
        <v>200</v>
      </c>
      <c r="C14" s="103" t="s">
        <v>201</v>
      </c>
      <c r="D14" s="104">
        <f aca="true" t="shared" si="1" ref="D14:D86">E14+K14</f>
        <v>651000</v>
      </c>
      <c r="E14" s="104">
        <v>35000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f>3!G23</f>
        <v>616000</v>
      </c>
    </row>
    <row r="15" spans="1:11" s="20" customFormat="1" ht="76.5">
      <c r="A15" s="179"/>
      <c r="B15" s="102" t="s">
        <v>326</v>
      </c>
      <c r="C15" s="103" t="s">
        <v>327</v>
      </c>
      <c r="D15" s="104">
        <f t="shared" si="1"/>
        <v>1500</v>
      </c>
      <c r="E15" s="104">
        <v>1500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</row>
    <row r="16" spans="1:11" s="20" customFormat="1" ht="12.75">
      <c r="A16" s="179"/>
      <c r="B16" s="102" t="s">
        <v>328</v>
      </c>
      <c r="C16" s="103" t="s">
        <v>329</v>
      </c>
      <c r="D16" s="104">
        <f t="shared" si="1"/>
        <v>18000</v>
      </c>
      <c r="E16" s="104">
        <v>18000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</row>
    <row r="17" spans="1:11" s="20" customFormat="1" ht="12.75">
      <c r="A17" s="179"/>
      <c r="B17" s="102" t="s">
        <v>330</v>
      </c>
      <c r="C17" s="103" t="s">
        <v>229</v>
      </c>
      <c r="D17" s="104">
        <f t="shared" si="1"/>
        <v>20000</v>
      </c>
      <c r="E17" s="104">
        <v>20000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</row>
    <row r="18" spans="1:11" s="20" customFormat="1" ht="12.75">
      <c r="A18" s="179" t="s">
        <v>204</v>
      </c>
      <c r="B18" s="99"/>
      <c r="C18" s="100" t="s">
        <v>205</v>
      </c>
      <c r="D18" s="106">
        <f>D19+D20</f>
        <v>3335000</v>
      </c>
      <c r="E18" s="106">
        <f aca="true" t="shared" si="2" ref="E18:K18">E19+E20</f>
        <v>750000</v>
      </c>
      <c r="F18" s="106">
        <f t="shared" si="2"/>
        <v>0</v>
      </c>
      <c r="G18" s="106">
        <f t="shared" si="2"/>
        <v>0</v>
      </c>
      <c r="H18" s="106">
        <f t="shared" si="2"/>
        <v>0</v>
      </c>
      <c r="I18" s="106">
        <f t="shared" si="2"/>
        <v>0</v>
      </c>
      <c r="J18" s="106">
        <f t="shared" si="2"/>
        <v>0</v>
      </c>
      <c r="K18" s="106">
        <f t="shared" si="2"/>
        <v>2585000</v>
      </c>
    </row>
    <row r="19" spans="1:11" s="20" customFormat="1" ht="12.75">
      <c r="A19" s="179"/>
      <c r="B19" s="102" t="s">
        <v>331</v>
      </c>
      <c r="C19" s="103" t="s">
        <v>332</v>
      </c>
      <c r="D19" s="104">
        <f t="shared" si="1"/>
        <v>320000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f>3!G24+3!G25</f>
        <v>320000</v>
      </c>
    </row>
    <row r="20" spans="1:11" s="20" customFormat="1" ht="12.75">
      <c r="A20" s="179"/>
      <c r="B20" s="102" t="s">
        <v>206</v>
      </c>
      <c r="C20" s="103" t="s">
        <v>207</v>
      </c>
      <c r="D20" s="104">
        <f t="shared" si="1"/>
        <v>3015000</v>
      </c>
      <c r="E20" s="104">
        <v>750000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f>3!G36-3!G24-3!G25+3a!E20</f>
        <v>2265000</v>
      </c>
    </row>
    <row r="21" spans="1:11" s="20" customFormat="1" ht="12.75">
      <c r="A21" s="179" t="s">
        <v>333</v>
      </c>
      <c r="B21" s="99"/>
      <c r="C21" s="100" t="s">
        <v>334</v>
      </c>
      <c r="D21" s="106">
        <f>D22</f>
        <v>26000</v>
      </c>
      <c r="E21" s="106">
        <f aca="true" t="shared" si="3" ref="E21:K21">E22</f>
        <v>26000</v>
      </c>
      <c r="F21" s="106">
        <f t="shared" si="3"/>
        <v>0</v>
      </c>
      <c r="G21" s="106">
        <f t="shared" si="3"/>
        <v>0</v>
      </c>
      <c r="H21" s="106">
        <f t="shared" si="3"/>
        <v>0</v>
      </c>
      <c r="I21" s="106">
        <f t="shared" si="3"/>
        <v>0</v>
      </c>
      <c r="J21" s="106">
        <f t="shared" si="3"/>
        <v>0</v>
      </c>
      <c r="K21" s="106">
        <f t="shared" si="3"/>
        <v>0</v>
      </c>
    </row>
    <row r="22" spans="1:11" s="20" customFormat="1" ht="12.75">
      <c r="A22" s="179"/>
      <c r="B22" s="102" t="s">
        <v>335</v>
      </c>
      <c r="C22" s="103" t="s">
        <v>229</v>
      </c>
      <c r="D22" s="104">
        <f t="shared" si="1"/>
        <v>26000</v>
      </c>
      <c r="E22" s="104">
        <v>26000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</row>
    <row r="23" spans="1:11" s="20" customFormat="1" ht="12.75">
      <c r="A23" s="179" t="s">
        <v>212</v>
      </c>
      <c r="B23" s="99"/>
      <c r="C23" s="100" t="s">
        <v>213</v>
      </c>
      <c r="D23" s="106">
        <f>D24+D25+D26</f>
        <v>440000</v>
      </c>
      <c r="E23" s="106">
        <f aca="true" t="shared" si="4" ref="E23:K23">E24+E25+E26</f>
        <v>200000</v>
      </c>
      <c r="F23" s="106">
        <f t="shared" si="4"/>
        <v>0</v>
      </c>
      <c r="G23" s="106">
        <f t="shared" si="4"/>
        <v>0</v>
      </c>
      <c r="H23" s="106">
        <f t="shared" si="4"/>
        <v>0</v>
      </c>
      <c r="I23" s="106">
        <f t="shared" si="4"/>
        <v>0</v>
      </c>
      <c r="J23" s="106">
        <f t="shared" si="4"/>
        <v>0</v>
      </c>
      <c r="K23" s="106">
        <f t="shared" si="4"/>
        <v>240000</v>
      </c>
    </row>
    <row r="24" spans="1:11" s="21" customFormat="1" ht="24.75" customHeight="1">
      <c r="A24" s="179"/>
      <c r="B24" s="102" t="s">
        <v>336</v>
      </c>
      <c r="C24" s="103" t="s">
        <v>337</v>
      </c>
      <c r="D24" s="104">
        <f t="shared" si="1"/>
        <v>160000</v>
      </c>
      <c r="E24" s="107">
        <v>160000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</row>
    <row r="25" spans="1:11" ht="25.5">
      <c r="A25" s="179"/>
      <c r="B25" s="102" t="s">
        <v>214</v>
      </c>
      <c r="C25" s="103" t="s">
        <v>215</v>
      </c>
      <c r="D25" s="104">
        <f t="shared" si="1"/>
        <v>135000</v>
      </c>
      <c r="E25" s="109">
        <v>35000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f>3a!E21</f>
        <v>100000</v>
      </c>
    </row>
    <row r="26" spans="1:11" ht="12.75">
      <c r="A26" s="179"/>
      <c r="B26" s="102" t="s">
        <v>338</v>
      </c>
      <c r="C26" s="103" t="s">
        <v>229</v>
      </c>
      <c r="D26" s="104">
        <f t="shared" si="1"/>
        <v>145000</v>
      </c>
      <c r="E26" s="109">
        <v>5000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f>3!G39</f>
        <v>140000</v>
      </c>
    </row>
    <row r="27" spans="1:11" ht="12.75">
      <c r="A27" s="179" t="s">
        <v>339</v>
      </c>
      <c r="B27" s="110"/>
      <c r="C27" s="111" t="s">
        <v>340</v>
      </c>
      <c r="D27" s="112">
        <f>D28+D29</f>
        <v>151500</v>
      </c>
      <c r="E27" s="112">
        <f aca="true" t="shared" si="5" ref="E27:K27">E28+E29</f>
        <v>151500</v>
      </c>
      <c r="F27" s="112">
        <f t="shared" si="5"/>
        <v>0</v>
      </c>
      <c r="G27" s="112">
        <f t="shared" si="5"/>
        <v>0</v>
      </c>
      <c r="H27" s="112">
        <f t="shared" si="5"/>
        <v>0</v>
      </c>
      <c r="I27" s="112">
        <f t="shared" si="5"/>
        <v>0</v>
      </c>
      <c r="J27" s="112">
        <f t="shared" si="5"/>
        <v>0</v>
      </c>
      <c r="K27" s="112">
        <f t="shared" si="5"/>
        <v>0</v>
      </c>
    </row>
    <row r="28" spans="1:11" ht="25.5">
      <c r="A28" s="179"/>
      <c r="B28" s="102" t="s">
        <v>341</v>
      </c>
      <c r="C28" s="103" t="s">
        <v>342</v>
      </c>
      <c r="D28" s="104">
        <f t="shared" si="1"/>
        <v>150000</v>
      </c>
      <c r="E28" s="109">
        <v>150000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</row>
    <row r="29" spans="1:11" ht="15" customHeight="1">
      <c r="A29" s="179"/>
      <c r="B29" s="102" t="s">
        <v>343</v>
      </c>
      <c r="C29" s="103" t="s">
        <v>344</v>
      </c>
      <c r="D29" s="104">
        <f t="shared" si="1"/>
        <v>1500</v>
      </c>
      <c r="E29" s="109">
        <v>1500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</row>
    <row r="30" spans="1:11" ht="12.75">
      <c r="A30" s="179" t="s">
        <v>222</v>
      </c>
      <c r="B30" s="110"/>
      <c r="C30" s="111" t="s">
        <v>223</v>
      </c>
      <c r="D30" s="112">
        <f>D31+D32+D33+D35+D34</f>
        <v>5844388</v>
      </c>
      <c r="E30" s="112">
        <f aca="true" t="shared" si="6" ref="E30:K30">E31+E32+E33+E35+E34</f>
        <v>5744388</v>
      </c>
      <c r="F30" s="112">
        <f t="shared" si="6"/>
        <v>3393067</v>
      </c>
      <c r="G30" s="112">
        <f t="shared" si="6"/>
        <v>669167</v>
      </c>
      <c r="H30" s="112">
        <f t="shared" si="6"/>
        <v>0</v>
      </c>
      <c r="I30" s="112">
        <f t="shared" si="6"/>
        <v>0</v>
      </c>
      <c r="J30" s="112">
        <f t="shared" si="6"/>
        <v>0</v>
      </c>
      <c r="K30" s="112">
        <f t="shared" si="6"/>
        <v>100000</v>
      </c>
    </row>
    <row r="31" spans="1:11" ht="12.75">
      <c r="A31" s="179"/>
      <c r="B31" s="102" t="s">
        <v>224</v>
      </c>
      <c r="C31" s="103" t="s">
        <v>225</v>
      </c>
      <c r="D31" s="104">
        <f t="shared" si="1"/>
        <v>330568</v>
      </c>
      <c r="E31" s="109">
        <v>330568</v>
      </c>
      <c r="F31" s="109">
        <v>266139</v>
      </c>
      <c r="G31" s="109">
        <v>52429</v>
      </c>
      <c r="H31" s="109">
        <v>0</v>
      </c>
      <c r="I31" s="109">
        <v>0</v>
      </c>
      <c r="J31" s="109">
        <v>0</v>
      </c>
      <c r="K31" s="109">
        <v>0</v>
      </c>
    </row>
    <row r="32" spans="1:11" ht="25.5">
      <c r="A32" s="179"/>
      <c r="B32" s="102" t="s">
        <v>345</v>
      </c>
      <c r="C32" s="103" t="s">
        <v>346</v>
      </c>
      <c r="D32" s="104">
        <f t="shared" si="1"/>
        <v>170000</v>
      </c>
      <c r="E32" s="109">
        <v>170000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</row>
    <row r="33" spans="1:11" ht="25.5">
      <c r="A33" s="179"/>
      <c r="B33" s="102" t="s">
        <v>347</v>
      </c>
      <c r="C33" s="103" t="s">
        <v>348</v>
      </c>
      <c r="D33" s="104">
        <f>E33+K33</f>
        <v>4882971</v>
      </c>
      <c r="E33" s="109">
        <v>4782971</v>
      </c>
      <c r="F33" s="109">
        <v>3005581</v>
      </c>
      <c r="G33" s="109">
        <v>592100</v>
      </c>
      <c r="H33" s="109">
        <v>0</v>
      </c>
      <c r="I33" s="109">
        <v>0</v>
      </c>
      <c r="J33" s="109">
        <v>0</v>
      </c>
      <c r="K33" s="109">
        <f>3a!E24</f>
        <v>100000</v>
      </c>
    </row>
    <row r="34" spans="1:11" ht="25.5">
      <c r="A34" s="179"/>
      <c r="B34" s="102">
        <v>75075</v>
      </c>
      <c r="C34" s="103" t="s">
        <v>349</v>
      </c>
      <c r="D34" s="104">
        <f t="shared" si="1"/>
        <v>250000</v>
      </c>
      <c r="E34" s="109">
        <v>250000</v>
      </c>
      <c r="F34" s="109">
        <v>5000</v>
      </c>
      <c r="G34" s="109">
        <v>985</v>
      </c>
      <c r="H34" s="109">
        <v>0</v>
      </c>
      <c r="I34" s="109">
        <v>0</v>
      </c>
      <c r="J34" s="109">
        <v>0</v>
      </c>
      <c r="K34" s="109">
        <v>0</v>
      </c>
    </row>
    <row r="35" spans="1:11" ht="12.75">
      <c r="A35" s="179"/>
      <c r="B35" s="102" t="s">
        <v>228</v>
      </c>
      <c r="C35" s="103" t="s">
        <v>229</v>
      </c>
      <c r="D35" s="104">
        <f t="shared" si="1"/>
        <v>210849</v>
      </c>
      <c r="E35" s="109">
        <v>210849</v>
      </c>
      <c r="F35" s="109">
        <v>116347</v>
      </c>
      <c r="G35" s="109">
        <v>23653</v>
      </c>
      <c r="H35" s="109">
        <v>0</v>
      </c>
      <c r="I35" s="109">
        <v>0</v>
      </c>
      <c r="J35" s="109">
        <v>0</v>
      </c>
      <c r="K35" s="109">
        <v>0</v>
      </c>
    </row>
    <row r="36" spans="1:11" ht="38.25">
      <c r="A36" s="179">
        <v>751</v>
      </c>
      <c r="B36" s="110"/>
      <c r="C36" s="111" t="s">
        <v>231</v>
      </c>
      <c r="D36" s="112">
        <f>D37</f>
        <v>3738</v>
      </c>
      <c r="E36" s="112">
        <f aca="true" t="shared" si="7" ref="E36:K36">E37</f>
        <v>3738</v>
      </c>
      <c r="F36" s="112">
        <f>F37</f>
        <v>3124</v>
      </c>
      <c r="G36" s="112">
        <f t="shared" si="7"/>
        <v>614</v>
      </c>
      <c r="H36" s="112">
        <f t="shared" si="7"/>
        <v>0</v>
      </c>
      <c r="I36" s="112">
        <f t="shared" si="7"/>
        <v>0</v>
      </c>
      <c r="J36" s="112">
        <f t="shared" si="7"/>
        <v>0</v>
      </c>
      <c r="K36" s="112">
        <f t="shared" si="7"/>
        <v>0</v>
      </c>
    </row>
    <row r="37" spans="1:11" ht="25.5">
      <c r="A37" s="179"/>
      <c r="B37" s="102">
        <v>75101</v>
      </c>
      <c r="C37" s="103" t="s">
        <v>233</v>
      </c>
      <c r="D37" s="104">
        <f t="shared" si="1"/>
        <v>3738</v>
      </c>
      <c r="E37" s="109">
        <v>3738</v>
      </c>
      <c r="F37" s="109">
        <v>3124</v>
      </c>
      <c r="G37" s="109">
        <v>614</v>
      </c>
      <c r="H37" s="109">
        <v>0</v>
      </c>
      <c r="I37" s="109">
        <v>0</v>
      </c>
      <c r="J37" s="109">
        <v>0</v>
      </c>
      <c r="K37" s="109">
        <v>0</v>
      </c>
    </row>
    <row r="38" spans="1:11" ht="25.5">
      <c r="A38" s="179" t="s">
        <v>234</v>
      </c>
      <c r="B38" s="110"/>
      <c r="C38" s="111" t="s">
        <v>235</v>
      </c>
      <c r="D38" s="112">
        <f>D39+D40+D41+D43+D42</f>
        <v>370161</v>
      </c>
      <c r="E38" s="112">
        <f aca="true" t="shared" si="8" ref="E38:K38">E39+E40+E41+E43+E42</f>
        <v>370161</v>
      </c>
      <c r="F38" s="112">
        <f t="shared" si="8"/>
        <v>155523</v>
      </c>
      <c r="G38" s="112">
        <f t="shared" si="8"/>
        <v>30638</v>
      </c>
      <c r="H38" s="112">
        <f t="shared" si="8"/>
        <v>0</v>
      </c>
      <c r="I38" s="112">
        <f t="shared" si="8"/>
        <v>0</v>
      </c>
      <c r="J38" s="112">
        <f t="shared" si="8"/>
        <v>0</v>
      </c>
      <c r="K38" s="112">
        <f t="shared" si="8"/>
        <v>0</v>
      </c>
    </row>
    <row r="39" spans="1:11" ht="12.75">
      <c r="A39" s="179"/>
      <c r="B39" s="102" t="s">
        <v>350</v>
      </c>
      <c r="C39" s="103" t="s">
        <v>351</v>
      </c>
      <c r="D39" s="104">
        <f t="shared" si="1"/>
        <v>150000</v>
      </c>
      <c r="E39" s="109">
        <v>150000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</row>
    <row r="40" spans="1:11" ht="12.75">
      <c r="A40" s="179"/>
      <c r="B40" s="102" t="s">
        <v>352</v>
      </c>
      <c r="C40" s="103" t="s">
        <v>353</v>
      </c>
      <c r="D40" s="104">
        <f t="shared" si="1"/>
        <v>5000</v>
      </c>
      <c r="E40" s="109">
        <v>5000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</row>
    <row r="41" spans="1:11" ht="12.75">
      <c r="A41" s="179"/>
      <c r="B41" s="102" t="s">
        <v>236</v>
      </c>
      <c r="C41" s="103" t="s">
        <v>237</v>
      </c>
      <c r="D41" s="104">
        <f t="shared" si="1"/>
        <v>199161</v>
      </c>
      <c r="E41" s="109">
        <v>199161</v>
      </c>
      <c r="F41" s="109">
        <v>155523</v>
      </c>
      <c r="G41" s="109">
        <v>30638</v>
      </c>
      <c r="H41" s="109">
        <v>0</v>
      </c>
      <c r="I41" s="109">
        <v>0</v>
      </c>
      <c r="J41" s="109">
        <v>0</v>
      </c>
      <c r="K41" s="109">
        <v>0</v>
      </c>
    </row>
    <row r="42" spans="1:11" ht="12.75">
      <c r="A42" s="179"/>
      <c r="B42" s="102">
        <v>75421</v>
      </c>
      <c r="C42" s="103" t="s">
        <v>517</v>
      </c>
      <c r="D42" s="104">
        <f>E42</f>
        <v>15000</v>
      </c>
      <c r="E42" s="109">
        <v>15000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</row>
    <row r="43" spans="1:11" ht="12.75">
      <c r="A43" s="179"/>
      <c r="B43" s="102" t="s">
        <v>354</v>
      </c>
      <c r="C43" s="103" t="s">
        <v>229</v>
      </c>
      <c r="D43" s="104">
        <f t="shared" si="1"/>
        <v>1000</v>
      </c>
      <c r="E43" s="109">
        <v>1000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</row>
    <row r="44" spans="1:11" ht="63.75">
      <c r="A44" s="179" t="s">
        <v>240</v>
      </c>
      <c r="B44" s="110"/>
      <c r="C44" s="111" t="s">
        <v>241</v>
      </c>
      <c r="D44" s="112">
        <f>D45</f>
        <v>105884</v>
      </c>
      <c r="E44" s="112">
        <f aca="true" t="shared" si="9" ref="E44:K44">E45</f>
        <v>105884</v>
      </c>
      <c r="F44" s="112">
        <f t="shared" si="9"/>
        <v>104702</v>
      </c>
      <c r="G44" s="112">
        <f t="shared" si="9"/>
        <v>1182</v>
      </c>
      <c r="H44" s="112">
        <f t="shared" si="9"/>
        <v>0</v>
      </c>
      <c r="I44" s="112">
        <f t="shared" si="9"/>
        <v>0</v>
      </c>
      <c r="J44" s="112">
        <f t="shared" si="9"/>
        <v>0</v>
      </c>
      <c r="K44" s="112">
        <f t="shared" si="9"/>
        <v>0</v>
      </c>
    </row>
    <row r="45" spans="1:11" ht="38.25">
      <c r="A45" s="179"/>
      <c r="B45" s="102" t="s">
        <v>355</v>
      </c>
      <c r="C45" s="103" t="s">
        <v>356</v>
      </c>
      <c r="D45" s="104">
        <f t="shared" si="1"/>
        <v>105884</v>
      </c>
      <c r="E45" s="109">
        <v>105884</v>
      </c>
      <c r="F45" s="109">
        <v>104702</v>
      </c>
      <c r="G45" s="109">
        <v>1182</v>
      </c>
      <c r="H45" s="109">
        <v>0</v>
      </c>
      <c r="I45" s="109">
        <v>0</v>
      </c>
      <c r="J45" s="109">
        <v>0</v>
      </c>
      <c r="K45" s="109">
        <v>0</v>
      </c>
    </row>
    <row r="46" spans="1:11" ht="12.75">
      <c r="A46" s="179" t="s">
        <v>357</v>
      </c>
      <c r="B46" s="110"/>
      <c r="C46" s="111" t="s">
        <v>358</v>
      </c>
      <c r="D46" s="112">
        <f>D47+D48</f>
        <v>611603</v>
      </c>
      <c r="E46" s="112">
        <f aca="true" t="shared" si="10" ref="E46:K46">E47+E48</f>
        <v>611603</v>
      </c>
      <c r="F46" s="112">
        <f t="shared" si="10"/>
        <v>0</v>
      </c>
      <c r="G46" s="112">
        <f t="shared" si="10"/>
        <v>0</v>
      </c>
      <c r="H46" s="112">
        <f t="shared" si="10"/>
        <v>0</v>
      </c>
      <c r="I46" s="112">
        <f t="shared" si="10"/>
        <v>400000</v>
      </c>
      <c r="J46" s="112">
        <f t="shared" si="10"/>
        <v>211603</v>
      </c>
      <c r="K46" s="112">
        <f t="shared" si="10"/>
        <v>0</v>
      </c>
    </row>
    <row r="47" spans="1:11" ht="38.25">
      <c r="A47" s="179"/>
      <c r="B47" s="102" t="s">
        <v>359</v>
      </c>
      <c r="C47" s="103" t="s">
        <v>360</v>
      </c>
      <c r="D47" s="104">
        <f t="shared" si="1"/>
        <v>400000</v>
      </c>
      <c r="E47" s="109">
        <v>400000</v>
      </c>
      <c r="F47" s="109">
        <v>0</v>
      </c>
      <c r="G47" s="109">
        <v>0</v>
      </c>
      <c r="H47" s="109">
        <v>0</v>
      </c>
      <c r="I47" s="109">
        <v>400000</v>
      </c>
      <c r="J47" s="109">
        <v>0</v>
      </c>
      <c r="K47" s="109">
        <v>0</v>
      </c>
    </row>
    <row r="48" spans="1:11" ht="51">
      <c r="A48" s="179"/>
      <c r="B48" s="102" t="s">
        <v>361</v>
      </c>
      <c r="C48" s="103" t="s">
        <v>362</v>
      </c>
      <c r="D48" s="104">
        <f t="shared" si="1"/>
        <v>211603</v>
      </c>
      <c r="E48" s="109">
        <f>J48</f>
        <v>211603</v>
      </c>
      <c r="F48" s="109">
        <v>0</v>
      </c>
      <c r="G48" s="109">
        <v>0</v>
      </c>
      <c r="H48" s="109">
        <v>0</v>
      </c>
      <c r="I48" s="109">
        <v>0</v>
      </c>
      <c r="J48" s="109">
        <v>211603</v>
      </c>
      <c r="K48" s="109">
        <v>0</v>
      </c>
    </row>
    <row r="49" spans="1:11" ht="12.75">
      <c r="A49" s="179">
        <v>758</v>
      </c>
      <c r="B49" s="43"/>
      <c r="C49" s="113" t="s">
        <v>289</v>
      </c>
      <c r="D49" s="108">
        <f>D50</f>
        <v>300000</v>
      </c>
      <c r="E49" s="112">
        <f>E50</f>
        <v>300000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</row>
    <row r="50" spans="1:11" ht="12.75">
      <c r="A50" s="179"/>
      <c r="B50" s="10">
        <v>75818</v>
      </c>
      <c r="C50" s="114" t="s">
        <v>363</v>
      </c>
      <c r="D50" s="104">
        <f>E50</f>
        <v>300000</v>
      </c>
      <c r="E50" s="109">
        <f>300000</f>
        <v>300000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</row>
    <row r="51" spans="1:11" ht="12.75">
      <c r="A51" s="179" t="s">
        <v>302</v>
      </c>
      <c r="B51" s="110"/>
      <c r="C51" s="111" t="s">
        <v>303</v>
      </c>
      <c r="D51" s="112">
        <f>D52+D53+D54+D55+D57+D58+D59+D56</f>
        <v>16685016</v>
      </c>
      <c r="E51" s="112">
        <f aca="true" t="shared" si="11" ref="E51:K51">E52+E53+E54+E55+E57+E58+E59+E56</f>
        <v>16405016</v>
      </c>
      <c r="F51" s="112">
        <f t="shared" si="11"/>
        <v>9699448</v>
      </c>
      <c r="G51" s="112">
        <f t="shared" si="11"/>
        <v>1681125</v>
      </c>
      <c r="H51" s="112">
        <f t="shared" si="11"/>
        <v>2021400</v>
      </c>
      <c r="I51" s="112">
        <f t="shared" si="11"/>
        <v>0</v>
      </c>
      <c r="J51" s="112">
        <f t="shared" si="11"/>
        <v>0</v>
      </c>
      <c r="K51" s="112">
        <f t="shared" si="11"/>
        <v>280000</v>
      </c>
    </row>
    <row r="52" spans="1:11" ht="12.75">
      <c r="A52" s="179"/>
      <c r="B52" s="102" t="s">
        <v>304</v>
      </c>
      <c r="C52" s="103" t="s">
        <v>305</v>
      </c>
      <c r="D52" s="104">
        <f>E52+K52</f>
        <v>8209493</v>
      </c>
      <c r="E52" s="109">
        <f>8148578-80000-163085+27000</f>
        <v>7932493</v>
      </c>
      <c r="F52" s="109">
        <f>5623085-163085</f>
        <v>5460000</v>
      </c>
      <c r="G52" s="109">
        <f>1002455-80000</f>
        <v>922455</v>
      </c>
      <c r="H52" s="109">
        <v>0</v>
      </c>
      <c r="I52" s="109">
        <v>0</v>
      </c>
      <c r="J52" s="109">
        <v>0</v>
      </c>
      <c r="K52" s="109">
        <f>3!G40</f>
        <v>277000</v>
      </c>
    </row>
    <row r="53" spans="1:11" ht="25.5">
      <c r="A53" s="179"/>
      <c r="B53" s="102" t="s">
        <v>364</v>
      </c>
      <c r="C53" s="103" t="s">
        <v>365</v>
      </c>
      <c r="D53" s="104">
        <f t="shared" si="1"/>
        <v>607205</v>
      </c>
      <c r="E53" s="109">
        <v>607205</v>
      </c>
      <c r="F53" s="109">
        <v>460987</v>
      </c>
      <c r="G53" s="109">
        <v>86852</v>
      </c>
      <c r="H53" s="109">
        <v>0</v>
      </c>
      <c r="I53" s="109">
        <v>0</v>
      </c>
      <c r="J53" s="109">
        <v>0</v>
      </c>
      <c r="K53" s="109">
        <v>0</v>
      </c>
    </row>
    <row r="54" spans="1:11" ht="12.75">
      <c r="A54" s="179"/>
      <c r="B54" s="102" t="s">
        <v>366</v>
      </c>
      <c r="C54" s="103" t="s">
        <v>367</v>
      </c>
      <c r="D54" s="104">
        <f t="shared" si="1"/>
        <v>1800000</v>
      </c>
      <c r="E54" s="109">
        <v>1800000</v>
      </c>
      <c r="F54" s="109">
        <v>0</v>
      </c>
      <c r="G54" s="109">
        <v>0</v>
      </c>
      <c r="H54" s="109">
        <v>1800000</v>
      </c>
      <c r="I54" s="109">
        <v>0</v>
      </c>
      <c r="J54" s="109">
        <v>0</v>
      </c>
      <c r="K54" s="109">
        <v>0</v>
      </c>
    </row>
    <row r="55" spans="1:11" ht="12.75">
      <c r="A55" s="179"/>
      <c r="B55" s="102" t="s">
        <v>368</v>
      </c>
      <c r="C55" s="103" t="s">
        <v>369</v>
      </c>
      <c r="D55" s="104">
        <f t="shared" si="1"/>
        <v>4868870</v>
      </c>
      <c r="E55" s="109">
        <f>4965870-100000</f>
        <v>4865870</v>
      </c>
      <c r="F55" s="109">
        <v>3356044</v>
      </c>
      <c r="G55" s="109">
        <v>596136</v>
      </c>
      <c r="H55" s="109">
        <v>221400</v>
      </c>
      <c r="I55" s="109">
        <v>0</v>
      </c>
      <c r="J55" s="109">
        <v>0</v>
      </c>
      <c r="K55" s="109">
        <f>3!G41</f>
        <v>3000</v>
      </c>
    </row>
    <row r="56" spans="1:11" ht="12.75">
      <c r="A56" s="179"/>
      <c r="B56" s="102">
        <v>80113</v>
      </c>
      <c r="C56" s="103" t="s">
        <v>370</v>
      </c>
      <c r="D56" s="104">
        <f t="shared" si="1"/>
        <v>543448</v>
      </c>
      <c r="E56" s="109">
        <f>546448-3000</f>
        <v>543448</v>
      </c>
      <c r="F56" s="109">
        <v>26128</v>
      </c>
      <c r="G56" s="109">
        <v>5182</v>
      </c>
      <c r="H56" s="109">
        <v>0</v>
      </c>
      <c r="I56" s="109">
        <v>0</v>
      </c>
      <c r="J56" s="109">
        <v>0</v>
      </c>
      <c r="K56" s="109">
        <v>0</v>
      </c>
    </row>
    <row r="57" spans="1:11" ht="25.5">
      <c r="A57" s="179"/>
      <c r="B57" s="102" t="s">
        <v>371</v>
      </c>
      <c r="C57" s="103" t="s">
        <v>372</v>
      </c>
      <c r="D57" s="104">
        <f t="shared" si="1"/>
        <v>540000</v>
      </c>
      <c r="E57" s="109">
        <v>540000</v>
      </c>
      <c r="F57" s="109">
        <v>396289</v>
      </c>
      <c r="G57" s="109">
        <v>70500</v>
      </c>
      <c r="H57" s="109">
        <v>0</v>
      </c>
      <c r="I57" s="109">
        <v>0</v>
      </c>
      <c r="J57" s="109">
        <v>0</v>
      </c>
      <c r="K57" s="109">
        <v>0</v>
      </c>
    </row>
    <row r="58" spans="1:11" ht="25.5">
      <c r="A58" s="179"/>
      <c r="B58" s="102" t="s">
        <v>373</v>
      </c>
      <c r="C58" s="103" t="s">
        <v>374</v>
      </c>
      <c r="D58" s="104">
        <f t="shared" si="1"/>
        <v>20000</v>
      </c>
      <c r="E58" s="109">
        <v>20000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109">
        <v>0</v>
      </c>
    </row>
    <row r="59" spans="1:11" ht="12.75">
      <c r="A59" s="179"/>
      <c r="B59" s="102" t="s">
        <v>375</v>
      </c>
      <c r="C59" s="103" t="s">
        <v>229</v>
      </c>
      <c r="D59" s="104">
        <f t="shared" si="1"/>
        <v>96000</v>
      </c>
      <c r="E59" s="109">
        <v>96000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</row>
    <row r="60" spans="1:11" ht="12.75">
      <c r="A60" s="179" t="s">
        <v>376</v>
      </c>
      <c r="B60" s="110"/>
      <c r="C60" s="111" t="s">
        <v>377</v>
      </c>
      <c r="D60" s="112">
        <f>D61+D63+D62</f>
        <v>300000</v>
      </c>
      <c r="E60" s="112">
        <f aca="true" t="shared" si="12" ref="E60:K60">E61+E63+E62</f>
        <v>250000</v>
      </c>
      <c r="F60" s="112">
        <f t="shared" si="12"/>
        <v>82916</v>
      </c>
      <c r="G60" s="112">
        <f t="shared" si="12"/>
        <v>7239</v>
      </c>
      <c r="H60" s="112">
        <f t="shared" si="12"/>
        <v>75000</v>
      </c>
      <c r="I60" s="112">
        <f t="shared" si="12"/>
        <v>0</v>
      </c>
      <c r="J60" s="112">
        <f t="shared" si="12"/>
        <v>0</v>
      </c>
      <c r="K60" s="112">
        <f t="shared" si="12"/>
        <v>50000</v>
      </c>
    </row>
    <row r="61" spans="1:11" ht="12.75">
      <c r="A61" s="179"/>
      <c r="B61" s="102" t="s">
        <v>378</v>
      </c>
      <c r="C61" s="103" t="s">
        <v>379</v>
      </c>
      <c r="D61" s="104">
        <f t="shared" si="1"/>
        <v>70000</v>
      </c>
      <c r="E61" s="109">
        <v>20000</v>
      </c>
      <c r="F61" s="109">
        <v>0</v>
      </c>
      <c r="G61" s="109">
        <v>0</v>
      </c>
      <c r="H61" s="109">
        <v>20000</v>
      </c>
      <c r="I61" s="109">
        <v>0</v>
      </c>
      <c r="J61" s="109">
        <v>0</v>
      </c>
      <c r="K61" s="109">
        <f>3a!E25</f>
        <v>50000</v>
      </c>
    </row>
    <row r="62" spans="1:11" ht="12.75">
      <c r="A62" s="179"/>
      <c r="B62" s="102">
        <v>85153</v>
      </c>
      <c r="C62" s="103" t="s">
        <v>380</v>
      </c>
      <c r="D62" s="104">
        <f>E62+K62</f>
        <v>11000</v>
      </c>
      <c r="E62" s="109">
        <v>11000</v>
      </c>
      <c r="F62" s="109">
        <v>5500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</row>
    <row r="63" spans="1:11" ht="12.75">
      <c r="A63" s="179"/>
      <c r="B63" s="102" t="s">
        <v>381</v>
      </c>
      <c r="C63" s="103" t="s">
        <v>382</v>
      </c>
      <c r="D63" s="104">
        <f>E63+K63</f>
        <v>219000</v>
      </c>
      <c r="E63" s="109">
        <v>219000</v>
      </c>
      <c r="F63" s="109">
        <v>77416</v>
      </c>
      <c r="G63" s="109">
        <v>7239</v>
      </c>
      <c r="H63" s="109">
        <v>55000</v>
      </c>
      <c r="I63" s="109">
        <v>0</v>
      </c>
      <c r="J63" s="109">
        <v>0</v>
      </c>
      <c r="K63" s="109">
        <v>0</v>
      </c>
    </row>
    <row r="64" spans="1:11" ht="12.75">
      <c r="A64" s="179" t="s">
        <v>306</v>
      </c>
      <c r="B64" s="110"/>
      <c r="C64" s="111" t="s">
        <v>307</v>
      </c>
      <c r="D64" s="112">
        <f>D65+D66+D67+D68+D69+D70+D71+D72</f>
        <v>9949930</v>
      </c>
      <c r="E64" s="112">
        <f aca="true" t="shared" si="13" ref="E64:K64">E65+E66+E67+E68+E69+E70+E71+E72</f>
        <v>9949930</v>
      </c>
      <c r="F64" s="112">
        <f t="shared" si="13"/>
        <v>781554</v>
      </c>
      <c r="G64" s="112">
        <f>G65+G66+G67+G68+G69+G70+G71+G72</f>
        <v>226238</v>
      </c>
      <c r="H64" s="112">
        <f t="shared" si="13"/>
        <v>0</v>
      </c>
      <c r="I64" s="112">
        <f t="shared" si="13"/>
        <v>0</v>
      </c>
      <c r="J64" s="112">
        <f t="shared" si="13"/>
        <v>0</v>
      </c>
      <c r="K64" s="112">
        <f t="shared" si="13"/>
        <v>0</v>
      </c>
    </row>
    <row r="65" spans="1:11" ht="12.75">
      <c r="A65" s="179"/>
      <c r="B65" s="102" t="s">
        <v>383</v>
      </c>
      <c r="C65" s="103" t="s">
        <v>384</v>
      </c>
      <c r="D65" s="104">
        <f t="shared" si="1"/>
        <v>134400</v>
      </c>
      <c r="E65" s="109">
        <v>134400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</row>
    <row r="66" spans="1:11" ht="51">
      <c r="A66" s="179"/>
      <c r="B66" s="102">
        <v>85212</v>
      </c>
      <c r="C66" s="103" t="s">
        <v>309</v>
      </c>
      <c r="D66" s="104">
        <f t="shared" si="1"/>
        <v>7047970</v>
      </c>
      <c r="E66" s="109">
        <v>7047970</v>
      </c>
      <c r="F66" s="109">
        <v>129953</v>
      </c>
      <c r="G66" s="109">
        <v>68853</v>
      </c>
      <c r="H66" s="109">
        <v>0</v>
      </c>
      <c r="I66" s="109">
        <v>0</v>
      </c>
      <c r="J66" s="109">
        <v>0</v>
      </c>
      <c r="K66" s="109">
        <v>0</v>
      </c>
    </row>
    <row r="67" spans="1:11" ht="63.75">
      <c r="A67" s="179"/>
      <c r="B67" s="102">
        <v>85213</v>
      </c>
      <c r="C67" s="103" t="s">
        <v>311</v>
      </c>
      <c r="D67" s="104">
        <f t="shared" si="1"/>
        <v>43274</v>
      </c>
      <c r="E67" s="109">
        <f>G67</f>
        <v>43274</v>
      </c>
      <c r="F67" s="109">
        <v>0</v>
      </c>
      <c r="G67" s="109">
        <v>43274</v>
      </c>
      <c r="H67" s="109">
        <v>0</v>
      </c>
      <c r="I67" s="109">
        <v>0</v>
      </c>
      <c r="J67" s="109">
        <v>0</v>
      </c>
      <c r="K67" s="109">
        <v>0</v>
      </c>
    </row>
    <row r="68" spans="1:11" ht="38.25">
      <c r="A68" s="179"/>
      <c r="B68" s="102" t="s">
        <v>312</v>
      </c>
      <c r="C68" s="103" t="s">
        <v>313</v>
      </c>
      <c r="D68" s="104">
        <f t="shared" si="1"/>
        <v>450000</v>
      </c>
      <c r="E68" s="109">
        <v>450000</v>
      </c>
      <c r="F68" s="109">
        <v>0</v>
      </c>
      <c r="G68" s="109">
        <v>0</v>
      </c>
      <c r="H68" s="109">
        <v>0</v>
      </c>
      <c r="I68" s="109">
        <v>0</v>
      </c>
      <c r="J68" s="109">
        <v>0</v>
      </c>
      <c r="K68" s="109">
        <v>0</v>
      </c>
    </row>
    <row r="69" spans="1:11" ht="12.75">
      <c r="A69" s="179"/>
      <c r="B69" s="102" t="s">
        <v>385</v>
      </c>
      <c r="C69" s="103" t="s">
        <v>386</v>
      </c>
      <c r="D69" s="104">
        <f t="shared" si="1"/>
        <v>900000</v>
      </c>
      <c r="E69" s="109">
        <v>900000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</row>
    <row r="70" spans="1:11" ht="12.75">
      <c r="A70" s="179"/>
      <c r="B70" s="102" t="s">
        <v>316</v>
      </c>
      <c r="C70" s="103" t="s">
        <v>317</v>
      </c>
      <c r="D70" s="104">
        <f t="shared" si="1"/>
        <v>783854</v>
      </c>
      <c r="E70" s="109">
        <v>783854</v>
      </c>
      <c r="F70" s="109">
        <v>594612</v>
      </c>
      <c r="G70" s="109">
        <v>103998</v>
      </c>
      <c r="H70" s="109">
        <v>0</v>
      </c>
      <c r="I70" s="109">
        <v>0</v>
      </c>
      <c r="J70" s="109">
        <v>0</v>
      </c>
      <c r="K70" s="109">
        <v>0</v>
      </c>
    </row>
    <row r="71" spans="1:11" ht="25.5">
      <c r="A71" s="179"/>
      <c r="B71" s="102" t="s">
        <v>318</v>
      </c>
      <c r="C71" s="103" t="s">
        <v>319</v>
      </c>
      <c r="D71" s="104">
        <f t="shared" si="1"/>
        <v>408234</v>
      </c>
      <c r="E71" s="109">
        <v>408234</v>
      </c>
      <c r="F71" s="109">
        <v>56989</v>
      </c>
      <c r="G71" s="109">
        <v>10113</v>
      </c>
      <c r="H71" s="109">
        <v>0</v>
      </c>
      <c r="I71" s="109">
        <v>0</v>
      </c>
      <c r="J71" s="109">
        <v>0</v>
      </c>
      <c r="K71" s="109">
        <v>0</v>
      </c>
    </row>
    <row r="72" spans="1:11" ht="12.75">
      <c r="A72" s="179"/>
      <c r="B72" s="102" t="s">
        <v>322</v>
      </c>
      <c r="C72" s="103" t="s">
        <v>229</v>
      </c>
      <c r="D72" s="104">
        <f t="shared" si="1"/>
        <v>182198</v>
      </c>
      <c r="E72" s="109">
        <v>182198</v>
      </c>
      <c r="F72" s="109">
        <v>0</v>
      </c>
      <c r="G72" s="109">
        <v>0</v>
      </c>
      <c r="H72" s="109">
        <v>0</v>
      </c>
      <c r="I72" s="109">
        <v>0</v>
      </c>
      <c r="J72" s="109">
        <v>0</v>
      </c>
      <c r="K72" s="109">
        <v>0</v>
      </c>
    </row>
    <row r="73" spans="1:11" ht="25.5">
      <c r="A73" s="179" t="s">
        <v>387</v>
      </c>
      <c r="B73" s="110"/>
      <c r="C73" s="111" t="s">
        <v>388</v>
      </c>
      <c r="D73" s="112">
        <f>D74+D75+D76</f>
        <v>640021</v>
      </c>
      <c r="E73" s="112">
        <f aca="true" t="shared" si="14" ref="E73:K73">E74+E75+E76</f>
        <v>640021</v>
      </c>
      <c r="F73" s="112">
        <f t="shared" si="14"/>
        <v>498388</v>
      </c>
      <c r="G73" s="112">
        <f t="shared" si="14"/>
        <v>89267</v>
      </c>
      <c r="H73" s="112">
        <f t="shared" si="14"/>
        <v>0</v>
      </c>
      <c r="I73" s="112">
        <f t="shared" si="14"/>
        <v>0</v>
      </c>
      <c r="J73" s="112">
        <f t="shared" si="14"/>
        <v>0</v>
      </c>
      <c r="K73" s="112">
        <f t="shared" si="14"/>
        <v>0</v>
      </c>
    </row>
    <row r="74" spans="1:11" ht="12.75">
      <c r="A74" s="179"/>
      <c r="B74" s="102" t="s">
        <v>389</v>
      </c>
      <c r="C74" s="103" t="s">
        <v>390</v>
      </c>
      <c r="D74" s="104">
        <f t="shared" si="1"/>
        <v>621866</v>
      </c>
      <c r="E74" s="109">
        <v>621866</v>
      </c>
      <c r="F74" s="109">
        <v>498388</v>
      </c>
      <c r="G74" s="109">
        <v>89267</v>
      </c>
      <c r="H74" s="109">
        <v>0</v>
      </c>
      <c r="I74" s="109">
        <v>0</v>
      </c>
      <c r="J74" s="109">
        <v>0</v>
      </c>
      <c r="K74" s="109">
        <v>0</v>
      </c>
    </row>
    <row r="75" spans="1:11" ht="25.5">
      <c r="A75" s="179"/>
      <c r="B75" s="102" t="s">
        <v>391</v>
      </c>
      <c r="C75" s="103" t="s">
        <v>374</v>
      </c>
      <c r="D75" s="104">
        <f t="shared" si="1"/>
        <v>2955</v>
      </c>
      <c r="E75" s="109">
        <v>2955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</row>
    <row r="76" spans="1:11" ht="12.75">
      <c r="A76" s="179"/>
      <c r="B76" s="102" t="s">
        <v>392</v>
      </c>
      <c r="C76" s="103" t="s">
        <v>229</v>
      </c>
      <c r="D76" s="104">
        <f t="shared" si="1"/>
        <v>15200</v>
      </c>
      <c r="E76" s="109">
        <v>15200</v>
      </c>
      <c r="F76" s="109">
        <v>0</v>
      </c>
      <c r="G76" s="109">
        <v>0</v>
      </c>
      <c r="H76" s="109">
        <v>0</v>
      </c>
      <c r="I76" s="109">
        <v>0</v>
      </c>
      <c r="J76" s="109">
        <v>0</v>
      </c>
      <c r="K76" s="109">
        <v>0</v>
      </c>
    </row>
    <row r="77" spans="1:11" ht="25.5">
      <c r="A77" s="175" t="s">
        <v>393</v>
      </c>
      <c r="B77" s="110"/>
      <c r="C77" s="111" t="s">
        <v>394</v>
      </c>
      <c r="D77" s="112">
        <f>D78+D80+D81+D82+D83+D79</f>
        <v>2177000</v>
      </c>
      <c r="E77" s="112">
        <f aca="true" t="shared" si="15" ref="E77:K77">E78+E80+E81+E82+E83+E79</f>
        <v>1340000</v>
      </c>
      <c r="F77" s="112">
        <f t="shared" si="15"/>
        <v>0</v>
      </c>
      <c r="G77" s="112">
        <f t="shared" si="15"/>
        <v>0</v>
      </c>
      <c r="H77" s="112">
        <f t="shared" si="15"/>
        <v>0</v>
      </c>
      <c r="I77" s="112">
        <f t="shared" si="15"/>
        <v>0</v>
      </c>
      <c r="J77" s="112">
        <f t="shared" si="15"/>
        <v>0</v>
      </c>
      <c r="K77" s="112">
        <f t="shared" si="15"/>
        <v>837000</v>
      </c>
    </row>
    <row r="78" spans="1:11" ht="12.75">
      <c r="A78" s="176"/>
      <c r="B78" s="102" t="s">
        <v>395</v>
      </c>
      <c r="C78" s="103" t="s">
        <v>396</v>
      </c>
      <c r="D78" s="104">
        <f t="shared" si="1"/>
        <v>30000</v>
      </c>
      <c r="E78" s="109">
        <v>30000</v>
      </c>
      <c r="F78" s="109">
        <v>0</v>
      </c>
      <c r="G78" s="109">
        <v>0</v>
      </c>
      <c r="H78" s="109">
        <v>0</v>
      </c>
      <c r="I78" s="109">
        <v>0</v>
      </c>
      <c r="J78" s="109">
        <v>0</v>
      </c>
      <c r="K78" s="109">
        <v>0</v>
      </c>
    </row>
    <row r="79" spans="1:11" ht="12.75">
      <c r="A79" s="176"/>
      <c r="B79" s="102">
        <v>90002</v>
      </c>
      <c r="C79" s="103" t="s">
        <v>397</v>
      </c>
      <c r="D79" s="104">
        <f>E79</f>
        <v>20000</v>
      </c>
      <c r="E79" s="109">
        <v>20000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</row>
    <row r="80" spans="1:11" ht="12.75">
      <c r="A80" s="176"/>
      <c r="B80" s="102" t="s">
        <v>398</v>
      </c>
      <c r="C80" s="103" t="s">
        <v>399</v>
      </c>
      <c r="D80" s="104">
        <f t="shared" si="1"/>
        <v>400000</v>
      </c>
      <c r="E80" s="109">
        <v>400000</v>
      </c>
      <c r="F80" s="109">
        <v>0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</row>
    <row r="81" spans="1:11" ht="25.5">
      <c r="A81" s="176"/>
      <c r="B81" s="102" t="s">
        <v>400</v>
      </c>
      <c r="C81" s="103" t="s">
        <v>401</v>
      </c>
      <c r="D81" s="104">
        <f t="shared" si="1"/>
        <v>140000</v>
      </c>
      <c r="E81" s="109">
        <v>140000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</row>
    <row r="82" spans="1:11" ht="12.75">
      <c r="A82" s="176"/>
      <c r="B82" s="102" t="s">
        <v>402</v>
      </c>
      <c r="C82" s="103" t="s">
        <v>403</v>
      </c>
      <c r="D82" s="104">
        <f t="shared" si="1"/>
        <v>794000</v>
      </c>
      <c r="E82" s="109">
        <v>700000</v>
      </c>
      <c r="F82" s="109">
        <v>0</v>
      </c>
      <c r="G82" s="109">
        <v>0</v>
      </c>
      <c r="H82" s="109">
        <v>0</v>
      </c>
      <c r="I82" s="109">
        <v>0</v>
      </c>
      <c r="J82" s="109">
        <v>0</v>
      </c>
      <c r="K82" s="109">
        <f>3!G43+3a!F27+3a!F28</f>
        <v>94000</v>
      </c>
    </row>
    <row r="83" spans="1:11" ht="12.75">
      <c r="A83" s="177"/>
      <c r="B83" s="102" t="s">
        <v>404</v>
      </c>
      <c r="C83" s="103" t="s">
        <v>229</v>
      </c>
      <c r="D83" s="104">
        <f t="shared" si="1"/>
        <v>793000</v>
      </c>
      <c r="E83" s="109">
        <v>50000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f>3!G45+3!G44+3a!E30+3a!E29</f>
        <v>743000</v>
      </c>
    </row>
    <row r="84" spans="1:11" ht="25.5">
      <c r="A84" s="179" t="s">
        <v>405</v>
      </c>
      <c r="B84" s="110"/>
      <c r="C84" s="111" t="s">
        <v>406</v>
      </c>
      <c r="D84" s="112">
        <f>D85+D86+D87+D88</f>
        <v>1409000</v>
      </c>
      <c r="E84" s="112">
        <f aca="true" t="shared" si="16" ref="E84:K84">E85+E86+E87+E88</f>
        <v>1409000</v>
      </c>
      <c r="F84" s="112">
        <f t="shared" si="16"/>
        <v>0</v>
      </c>
      <c r="G84" s="112">
        <f t="shared" si="16"/>
        <v>0</v>
      </c>
      <c r="H84" s="112">
        <f t="shared" si="16"/>
        <v>1384000</v>
      </c>
      <c r="I84" s="112">
        <f t="shared" si="16"/>
        <v>0</v>
      </c>
      <c r="J84" s="112">
        <f t="shared" si="16"/>
        <v>0</v>
      </c>
      <c r="K84" s="112">
        <f t="shared" si="16"/>
        <v>0</v>
      </c>
    </row>
    <row r="85" spans="1:11" ht="25.5">
      <c r="A85" s="179"/>
      <c r="B85" s="102" t="s">
        <v>407</v>
      </c>
      <c r="C85" s="103" t="s">
        <v>408</v>
      </c>
      <c r="D85" s="104">
        <f t="shared" si="1"/>
        <v>588000</v>
      </c>
      <c r="E85" s="109">
        <f>H85</f>
        <v>588000</v>
      </c>
      <c r="F85" s="109">
        <v>0</v>
      </c>
      <c r="G85" s="109">
        <v>0</v>
      </c>
      <c r="H85" s="109">
        <v>588000</v>
      </c>
      <c r="I85" s="109">
        <v>0</v>
      </c>
      <c r="J85" s="109">
        <v>0</v>
      </c>
      <c r="K85" s="109">
        <v>0</v>
      </c>
    </row>
    <row r="86" spans="1:11" ht="12.75">
      <c r="A86" s="179"/>
      <c r="B86" s="102" t="s">
        <v>409</v>
      </c>
      <c r="C86" s="103" t="s">
        <v>410</v>
      </c>
      <c r="D86" s="104">
        <f t="shared" si="1"/>
        <v>593000</v>
      </c>
      <c r="E86" s="109">
        <f>H86</f>
        <v>593000</v>
      </c>
      <c r="F86" s="109">
        <v>0</v>
      </c>
      <c r="G86" s="109">
        <v>0</v>
      </c>
      <c r="H86" s="109">
        <v>593000</v>
      </c>
      <c r="I86" s="109">
        <v>0</v>
      </c>
      <c r="J86" s="109">
        <v>0</v>
      </c>
      <c r="K86" s="109">
        <v>0</v>
      </c>
    </row>
    <row r="87" spans="1:11" ht="12.75">
      <c r="A87" s="179"/>
      <c r="B87" s="102" t="s">
        <v>411</v>
      </c>
      <c r="C87" s="103" t="s">
        <v>412</v>
      </c>
      <c r="D87" s="104">
        <f aca="true" t="shared" si="17" ref="D87:D93">E87+K87</f>
        <v>203000</v>
      </c>
      <c r="E87" s="109">
        <f>H87</f>
        <v>203000</v>
      </c>
      <c r="F87" s="109">
        <v>0</v>
      </c>
      <c r="G87" s="109">
        <v>0</v>
      </c>
      <c r="H87" s="109">
        <v>203000</v>
      </c>
      <c r="I87" s="109">
        <v>0</v>
      </c>
      <c r="J87" s="109">
        <v>0</v>
      </c>
      <c r="K87" s="109">
        <v>0</v>
      </c>
    </row>
    <row r="88" spans="1:11" ht="12.75">
      <c r="A88" s="179"/>
      <c r="B88" s="102" t="s">
        <v>413</v>
      </c>
      <c r="C88" s="103" t="s">
        <v>229</v>
      </c>
      <c r="D88" s="104">
        <f t="shared" si="17"/>
        <v>25000</v>
      </c>
      <c r="E88" s="109">
        <v>25000</v>
      </c>
      <c r="F88" s="109">
        <v>0</v>
      </c>
      <c r="G88" s="109">
        <v>0</v>
      </c>
      <c r="H88" s="109">
        <v>0</v>
      </c>
      <c r="I88" s="109">
        <v>0</v>
      </c>
      <c r="J88" s="109">
        <v>0</v>
      </c>
      <c r="K88" s="109">
        <v>0</v>
      </c>
    </row>
    <row r="89" spans="1:11" ht="12.75">
      <c r="A89" s="179" t="s">
        <v>414</v>
      </c>
      <c r="B89" s="110"/>
      <c r="C89" s="111" t="s">
        <v>415</v>
      </c>
      <c r="D89" s="112">
        <f>D90+D93</f>
        <v>860000</v>
      </c>
      <c r="E89" s="112">
        <f aca="true" t="shared" si="18" ref="E89:K89">E90+E93</f>
        <v>860000</v>
      </c>
      <c r="F89" s="112">
        <f t="shared" si="18"/>
        <v>0</v>
      </c>
      <c r="G89" s="112">
        <f t="shared" si="18"/>
        <v>0</v>
      </c>
      <c r="H89" s="112">
        <f t="shared" si="18"/>
        <v>770000</v>
      </c>
      <c r="I89" s="112">
        <f t="shared" si="18"/>
        <v>0</v>
      </c>
      <c r="J89" s="112">
        <f t="shared" si="18"/>
        <v>0</v>
      </c>
      <c r="K89" s="112">
        <f t="shared" si="18"/>
        <v>0</v>
      </c>
    </row>
    <row r="90" spans="1:11" ht="12.75">
      <c r="A90" s="179"/>
      <c r="B90" s="180" t="s">
        <v>416</v>
      </c>
      <c r="C90" s="103" t="s">
        <v>417</v>
      </c>
      <c r="D90" s="104">
        <f t="shared" si="17"/>
        <v>770000</v>
      </c>
      <c r="E90" s="109">
        <f>H90</f>
        <v>770000</v>
      </c>
      <c r="F90" s="109">
        <f aca="true" t="shared" si="19" ref="F90:K90">F91+F92</f>
        <v>0</v>
      </c>
      <c r="G90" s="109">
        <f t="shared" si="19"/>
        <v>0</v>
      </c>
      <c r="H90" s="109">
        <f t="shared" si="19"/>
        <v>770000</v>
      </c>
      <c r="I90" s="109">
        <f t="shared" si="19"/>
        <v>0</v>
      </c>
      <c r="J90" s="109">
        <f t="shared" si="19"/>
        <v>0</v>
      </c>
      <c r="K90" s="109">
        <f t="shared" si="19"/>
        <v>0</v>
      </c>
    </row>
    <row r="91" spans="1:11" ht="12.75">
      <c r="A91" s="179"/>
      <c r="B91" s="180"/>
      <c r="C91" s="103" t="s">
        <v>418</v>
      </c>
      <c r="D91" s="104">
        <f t="shared" si="17"/>
        <v>640000</v>
      </c>
      <c r="E91" s="109">
        <v>640000</v>
      </c>
      <c r="F91" s="109">
        <v>0</v>
      </c>
      <c r="G91" s="109">
        <v>0</v>
      </c>
      <c r="H91" s="109">
        <v>640000</v>
      </c>
      <c r="I91" s="109">
        <v>0</v>
      </c>
      <c r="J91" s="109">
        <v>0</v>
      </c>
      <c r="K91" s="109">
        <v>0</v>
      </c>
    </row>
    <row r="92" spans="1:11" ht="12.75">
      <c r="A92" s="179"/>
      <c r="B92" s="180"/>
      <c r="C92" s="103" t="s">
        <v>419</v>
      </c>
      <c r="D92" s="104">
        <f t="shared" si="17"/>
        <v>130000</v>
      </c>
      <c r="E92" s="109">
        <f>H92</f>
        <v>130000</v>
      </c>
      <c r="F92" s="109">
        <v>0</v>
      </c>
      <c r="G92" s="109">
        <v>0</v>
      </c>
      <c r="H92" s="109">
        <f>70000+60000</f>
        <v>130000</v>
      </c>
      <c r="I92" s="109">
        <v>0</v>
      </c>
      <c r="J92" s="109">
        <v>0</v>
      </c>
      <c r="K92" s="109">
        <v>0</v>
      </c>
    </row>
    <row r="93" spans="1:11" ht="12.75">
      <c r="A93" s="179"/>
      <c r="B93" s="102" t="s">
        <v>420</v>
      </c>
      <c r="C93" s="103" t="s">
        <v>229</v>
      </c>
      <c r="D93" s="104">
        <f t="shared" si="17"/>
        <v>90000</v>
      </c>
      <c r="E93" s="109">
        <v>90000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</row>
    <row r="94" spans="1:11" ht="15.75">
      <c r="A94" s="178" t="s">
        <v>25</v>
      </c>
      <c r="B94" s="178"/>
      <c r="C94" s="178"/>
      <c r="D94" s="115">
        <f>D89+D84+D77+D73+D64+D60+D51+D46+D44+D36+D38+D30+D27+D23+D21+D18+D11+D49</f>
        <v>44204741</v>
      </c>
      <c r="E94" s="115">
        <f>E89+E84+E77+E73+E64+E60+E51+E46+E44+E36+E38+E30+E27+E23+E21+E18+E11+E49</f>
        <v>39496741</v>
      </c>
      <c r="F94" s="115">
        <f aca="true" t="shared" si="20" ref="F94:K94">F89+F84+F77+F73+F64+F60+F51+F46+F44+F36+F38+F30+F27+F23+F21+F18+F11+F49</f>
        <v>14718722</v>
      </c>
      <c r="G94" s="115">
        <f t="shared" si="20"/>
        <v>2705470</v>
      </c>
      <c r="H94" s="115">
        <f t="shared" si="20"/>
        <v>4250400</v>
      </c>
      <c r="I94" s="115">
        <f t="shared" si="20"/>
        <v>400000</v>
      </c>
      <c r="J94" s="115">
        <f t="shared" si="20"/>
        <v>211603</v>
      </c>
      <c r="K94" s="115">
        <f t="shared" si="20"/>
        <v>4708000</v>
      </c>
    </row>
    <row r="96" spans="4:8" ht="12.75">
      <c r="D96" s="116"/>
      <c r="E96" s="116"/>
      <c r="F96" s="116"/>
      <c r="H96" s="116"/>
    </row>
    <row r="97" spans="4:11" ht="12.75">
      <c r="D97" s="116"/>
      <c r="E97" s="116"/>
      <c r="F97" s="116"/>
      <c r="K97" s="116"/>
    </row>
    <row r="98" spans="4:11" ht="12.75">
      <c r="D98" s="116"/>
      <c r="E98" s="116"/>
      <c r="K98" s="1" t="s">
        <v>537</v>
      </c>
    </row>
    <row r="99" ht="12.75">
      <c r="K99" s="1" t="s">
        <v>538</v>
      </c>
    </row>
    <row r="100" spans="4:5" ht="12.75">
      <c r="D100" s="116"/>
      <c r="E100" s="116"/>
    </row>
    <row r="101" spans="4:11" ht="12.75">
      <c r="D101" s="116"/>
      <c r="E101" s="116"/>
      <c r="K101" s="1" t="s">
        <v>539</v>
      </c>
    </row>
    <row r="102" ht="12.75">
      <c r="E102" s="116"/>
    </row>
    <row r="104" ht="12.75">
      <c r="E104" s="116"/>
    </row>
  </sheetData>
  <sheetProtection/>
  <protectedRanges>
    <protectedRange password="DE7F" sqref="E12:J17" name="Zakres1"/>
  </protectedRanges>
  <mergeCells count="33">
    <mergeCell ref="H1:K3"/>
    <mergeCell ref="A51:A57"/>
    <mergeCell ref="A58:A59"/>
    <mergeCell ref="A4:K4"/>
    <mergeCell ref="D7:D9"/>
    <mergeCell ref="A7:A9"/>
    <mergeCell ref="C7:C9"/>
    <mergeCell ref="B7:B9"/>
    <mergeCell ref="E7:K7"/>
    <mergeCell ref="F8:J8"/>
    <mergeCell ref="E8:E9"/>
    <mergeCell ref="K8:K9"/>
    <mergeCell ref="A11:A17"/>
    <mergeCell ref="A18:A20"/>
    <mergeCell ref="A21:A22"/>
    <mergeCell ref="A23:A26"/>
    <mergeCell ref="A44:A45"/>
    <mergeCell ref="A46:A48"/>
    <mergeCell ref="A27:A29"/>
    <mergeCell ref="A36:A37"/>
    <mergeCell ref="A38:A43"/>
    <mergeCell ref="A30:A31"/>
    <mergeCell ref="A32:A35"/>
    <mergeCell ref="A77:A83"/>
    <mergeCell ref="A94:C94"/>
    <mergeCell ref="A49:A50"/>
    <mergeCell ref="A89:A93"/>
    <mergeCell ref="B90:B92"/>
    <mergeCell ref="A60:A63"/>
    <mergeCell ref="A64:A72"/>
    <mergeCell ref="A73:A76"/>
    <mergeCell ref="A84:A86"/>
    <mergeCell ref="A87:A88"/>
  </mergeCells>
  <printOptions horizontalCentered="1"/>
  <pageMargins left="0.3937007874015748" right="0.3937007874015748" top="0.48" bottom="0.3937007874015748" header="0.25" footer="0.15748031496062992"/>
  <pageSetup fitToHeight="4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B16">
      <selection activeCell="A5" sqref="A5:O5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69" t="s">
        <v>521</v>
      </c>
      <c r="N1" s="169"/>
      <c r="O1" s="169"/>
    </row>
    <row r="2" spans="13:15" ht="12.75">
      <c r="M2" s="169"/>
      <c r="N2" s="169"/>
      <c r="O2" s="169"/>
    </row>
    <row r="3" spans="13:15" ht="12.75">
      <c r="M3" s="169"/>
      <c r="N3" s="169"/>
      <c r="O3" s="169"/>
    </row>
    <row r="4" spans="13:15" ht="12.75">
      <c r="M4" s="169"/>
      <c r="N4" s="169"/>
      <c r="O4" s="169"/>
    </row>
    <row r="5" spans="1:15" ht="18">
      <c r="A5" s="170" t="s">
        <v>520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0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 t="s">
        <v>14</v>
      </c>
    </row>
    <row r="7" spans="1:15" s="17" customFormat="1" ht="19.5" customHeight="1">
      <c r="A7" s="171" t="s">
        <v>18</v>
      </c>
      <c r="B7" s="171" t="s">
        <v>1</v>
      </c>
      <c r="C7" s="171" t="s">
        <v>13</v>
      </c>
      <c r="D7" s="168" t="s">
        <v>39</v>
      </c>
      <c r="E7" s="168" t="s">
        <v>19</v>
      </c>
      <c r="F7" s="168" t="s">
        <v>48</v>
      </c>
      <c r="G7" s="168" t="s">
        <v>22</v>
      </c>
      <c r="H7" s="168"/>
      <c r="I7" s="168"/>
      <c r="J7" s="168"/>
      <c r="K7" s="168"/>
      <c r="L7" s="168"/>
      <c r="M7" s="168"/>
      <c r="N7" s="168"/>
      <c r="O7" s="168" t="s">
        <v>20</v>
      </c>
    </row>
    <row r="8" spans="1:15" s="17" customFormat="1" ht="19.5" customHeight="1">
      <c r="A8" s="171"/>
      <c r="B8" s="171"/>
      <c r="C8" s="171"/>
      <c r="D8" s="168"/>
      <c r="E8" s="168"/>
      <c r="F8" s="168"/>
      <c r="G8" s="168" t="s">
        <v>49</v>
      </c>
      <c r="H8" s="168" t="s">
        <v>10</v>
      </c>
      <c r="I8" s="168"/>
      <c r="J8" s="168"/>
      <c r="K8" s="168"/>
      <c r="L8" s="168" t="s">
        <v>17</v>
      </c>
      <c r="M8" s="168" t="s">
        <v>50</v>
      </c>
      <c r="N8" s="168" t="s">
        <v>51</v>
      </c>
      <c r="O8" s="168"/>
    </row>
    <row r="9" spans="1:15" s="17" customFormat="1" ht="29.25" customHeight="1">
      <c r="A9" s="171"/>
      <c r="B9" s="171"/>
      <c r="C9" s="171"/>
      <c r="D9" s="168"/>
      <c r="E9" s="168"/>
      <c r="F9" s="168"/>
      <c r="G9" s="168"/>
      <c r="H9" s="168" t="s">
        <v>41</v>
      </c>
      <c r="I9" s="168" t="s">
        <v>37</v>
      </c>
      <c r="J9" s="168" t="s">
        <v>42</v>
      </c>
      <c r="K9" s="168" t="s">
        <v>38</v>
      </c>
      <c r="L9" s="168"/>
      <c r="M9" s="168"/>
      <c r="N9" s="168"/>
      <c r="O9" s="168"/>
    </row>
    <row r="10" spans="1:15" s="17" customFormat="1" ht="19.5" customHeight="1">
      <c r="A10" s="171"/>
      <c r="B10" s="171"/>
      <c r="C10" s="171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</row>
    <row r="11" spans="1:15" s="17" customFormat="1" ht="19.5" customHeight="1">
      <c r="A11" s="171"/>
      <c r="B11" s="171"/>
      <c r="C11" s="171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/>
      <c r="O12" s="9">
        <v>13</v>
      </c>
    </row>
    <row r="13" spans="1:15" ht="51">
      <c r="A13" s="117" t="s">
        <v>6</v>
      </c>
      <c r="B13" s="118" t="s">
        <v>198</v>
      </c>
      <c r="C13" s="118" t="s">
        <v>200</v>
      </c>
      <c r="D13" s="119" t="s">
        <v>421</v>
      </c>
      <c r="E13" s="120">
        <f>G13+L13+M13+N13+F13</f>
        <v>213000</v>
      </c>
      <c r="F13" s="120">
        <v>23000</v>
      </c>
      <c r="G13" s="120">
        <v>0</v>
      </c>
      <c r="H13" s="120">
        <f>G13</f>
        <v>0</v>
      </c>
      <c r="I13" s="120">
        <v>0</v>
      </c>
      <c r="J13" s="121" t="s">
        <v>422</v>
      </c>
      <c r="K13" s="120">
        <v>0</v>
      </c>
      <c r="L13" s="120">
        <v>190000</v>
      </c>
      <c r="M13" s="120">
        <v>0</v>
      </c>
      <c r="N13" s="120">
        <v>0</v>
      </c>
      <c r="O13" s="122" t="s">
        <v>423</v>
      </c>
    </row>
    <row r="14" spans="1:15" ht="51">
      <c r="A14" s="117" t="s">
        <v>7</v>
      </c>
      <c r="B14" s="118" t="s">
        <v>198</v>
      </c>
      <c r="C14" s="118" t="s">
        <v>200</v>
      </c>
      <c r="D14" s="119" t="s">
        <v>424</v>
      </c>
      <c r="E14" s="120">
        <f aca="true" t="shared" si="0" ref="E14:E20">G14+L14+M14+N14+F14</f>
        <v>314000</v>
      </c>
      <c r="F14" s="120">
        <v>14000</v>
      </c>
      <c r="G14" s="120">
        <v>300000</v>
      </c>
      <c r="H14" s="120">
        <f>60000+205235</f>
        <v>265235</v>
      </c>
      <c r="I14" s="120">
        <f>G14-H14</f>
        <v>34765</v>
      </c>
      <c r="J14" s="121" t="s">
        <v>422</v>
      </c>
      <c r="K14" s="120">
        <v>0</v>
      </c>
      <c r="L14" s="120">
        <v>0</v>
      </c>
      <c r="M14" s="120">
        <v>0</v>
      </c>
      <c r="N14" s="120">
        <v>0</v>
      </c>
      <c r="O14" s="122" t="s">
        <v>423</v>
      </c>
    </row>
    <row r="15" spans="1:15" ht="51">
      <c r="A15" s="117" t="s">
        <v>8</v>
      </c>
      <c r="B15" s="118" t="s">
        <v>198</v>
      </c>
      <c r="C15" s="118" t="s">
        <v>200</v>
      </c>
      <c r="D15" s="119" t="s">
        <v>425</v>
      </c>
      <c r="E15" s="120">
        <f t="shared" si="0"/>
        <v>128500</v>
      </c>
      <c r="F15" s="120">
        <v>8500</v>
      </c>
      <c r="G15" s="120">
        <v>0</v>
      </c>
      <c r="H15" s="120">
        <v>0</v>
      </c>
      <c r="I15" s="120">
        <v>0</v>
      </c>
      <c r="J15" s="121" t="s">
        <v>422</v>
      </c>
      <c r="K15" s="120">
        <v>0</v>
      </c>
      <c r="L15" s="120">
        <v>120000</v>
      </c>
      <c r="M15" s="120">
        <v>0</v>
      </c>
      <c r="N15" s="120">
        <v>0</v>
      </c>
      <c r="O15" s="122" t="s">
        <v>423</v>
      </c>
    </row>
    <row r="16" spans="1:15" ht="51">
      <c r="A16" s="117" t="s">
        <v>0</v>
      </c>
      <c r="B16" s="118" t="s">
        <v>198</v>
      </c>
      <c r="C16" s="118" t="s">
        <v>200</v>
      </c>
      <c r="D16" s="119" t="s">
        <v>426</v>
      </c>
      <c r="E16" s="120">
        <f t="shared" si="0"/>
        <v>208500</v>
      </c>
      <c r="F16" s="120">
        <v>132500</v>
      </c>
      <c r="G16" s="120">
        <f>180000-54000-50000</f>
        <v>76000</v>
      </c>
      <c r="H16" s="120">
        <f>G16</f>
        <v>76000</v>
      </c>
      <c r="I16" s="120">
        <v>0</v>
      </c>
      <c r="J16" s="121" t="s">
        <v>422</v>
      </c>
      <c r="K16" s="120">
        <v>0</v>
      </c>
      <c r="L16" s="120">
        <v>0</v>
      </c>
      <c r="M16" s="120">
        <v>0</v>
      </c>
      <c r="N16" s="120">
        <v>0</v>
      </c>
      <c r="O16" s="122" t="s">
        <v>423</v>
      </c>
    </row>
    <row r="17" spans="1:15" ht="51">
      <c r="A17" s="117" t="s">
        <v>154</v>
      </c>
      <c r="B17" s="118" t="s">
        <v>198</v>
      </c>
      <c r="C17" s="118" t="s">
        <v>200</v>
      </c>
      <c r="D17" s="119" t="s">
        <v>427</v>
      </c>
      <c r="E17" s="120">
        <v>180000</v>
      </c>
      <c r="F17" s="120">
        <v>30000</v>
      </c>
      <c r="G17" s="120">
        <v>10000</v>
      </c>
      <c r="H17" s="120">
        <v>10000</v>
      </c>
      <c r="I17" s="120">
        <v>0</v>
      </c>
      <c r="J17" s="121" t="s">
        <v>422</v>
      </c>
      <c r="K17" s="120">
        <v>0</v>
      </c>
      <c r="L17" s="120">
        <v>140000</v>
      </c>
      <c r="M17" s="120">
        <v>0</v>
      </c>
      <c r="N17" s="120">
        <v>0</v>
      </c>
      <c r="O17" s="122" t="s">
        <v>423</v>
      </c>
    </row>
    <row r="18" spans="1:15" ht="51">
      <c r="A18" s="117" t="s">
        <v>168</v>
      </c>
      <c r="B18" s="118" t="s">
        <v>198</v>
      </c>
      <c r="C18" s="118" t="s">
        <v>200</v>
      </c>
      <c r="D18" s="119" t="s">
        <v>428</v>
      </c>
      <c r="E18" s="120">
        <v>220000</v>
      </c>
      <c r="F18" s="120">
        <v>30000</v>
      </c>
      <c r="G18" s="120">
        <v>10000</v>
      </c>
      <c r="H18" s="120">
        <v>10000</v>
      </c>
      <c r="I18" s="120">
        <v>0</v>
      </c>
      <c r="J18" s="121" t="s">
        <v>422</v>
      </c>
      <c r="K18" s="120">
        <v>0</v>
      </c>
      <c r="L18" s="120">
        <v>180000</v>
      </c>
      <c r="M18" s="120">
        <v>0</v>
      </c>
      <c r="N18" s="120">
        <v>0</v>
      </c>
      <c r="O18" s="122" t="s">
        <v>423</v>
      </c>
    </row>
    <row r="19" spans="1:15" ht="51">
      <c r="A19" s="117" t="s">
        <v>171</v>
      </c>
      <c r="B19" s="118" t="s">
        <v>198</v>
      </c>
      <c r="C19" s="118" t="s">
        <v>200</v>
      </c>
      <c r="D19" s="119" t="s">
        <v>429</v>
      </c>
      <c r="E19" s="120">
        <v>320000</v>
      </c>
      <c r="F19" s="120">
        <v>50000</v>
      </c>
      <c r="G19" s="120">
        <v>10000</v>
      </c>
      <c r="H19" s="120">
        <v>10000</v>
      </c>
      <c r="I19" s="120">
        <v>0</v>
      </c>
      <c r="J19" s="121" t="s">
        <v>422</v>
      </c>
      <c r="K19" s="120">
        <v>0</v>
      </c>
      <c r="L19" s="120">
        <v>260000</v>
      </c>
      <c r="M19" s="120">
        <v>0</v>
      </c>
      <c r="N19" s="120">
        <v>0</v>
      </c>
      <c r="O19" s="122" t="s">
        <v>423</v>
      </c>
    </row>
    <row r="20" spans="1:15" ht="127.5">
      <c r="A20" s="117" t="s">
        <v>174</v>
      </c>
      <c r="B20" s="118" t="s">
        <v>198</v>
      </c>
      <c r="C20" s="118" t="s">
        <v>200</v>
      </c>
      <c r="D20" s="119" t="s">
        <v>430</v>
      </c>
      <c r="E20" s="120">
        <f t="shared" si="0"/>
        <v>2111000</v>
      </c>
      <c r="F20" s="120">
        <v>111000</v>
      </c>
      <c r="G20" s="120">
        <v>0</v>
      </c>
      <c r="H20" s="120">
        <v>0</v>
      </c>
      <c r="I20" s="120">
        <v>0</v>
      </c>
      <c r="J20" s="121" t="s">
        <v>422</v>
      </c>
      <c r="K20" s="120">
        <v>0</v>
      </c>
      <c r="L20" s="120">
        <v>1000000</v>
      </c>
      <c r="M20" s="120">
        <v>1000000</v>
      </c>
      <c r="N20" s="120">
        <v>0</v>
      </c>
      <c r="O20" s="122" t="s">
        <v>423</v>
      </c>
    </row>
    <row r="21" spans="1:15" ht="63.75">
      <c r="A21" s="117" t="s">
        <v>177</v>
      </c>
      <c r="B21" s="118" t="s">
        <v>198</v>
      </c>
      <c r="C21" s="118" t="s">
        <v>200</v>
      </c>
      <c r="D21" s="123" t="s">
        <v>498</v>
      </c>
      <c r="E21" s="120">
        <v>800000</v>
      </c>
      <c r="F21" s="120">
        <v>0</v>
      </c>
      <c r="G21" s="120">
        <v>200000</v>
      </c>
      <c r="H21" s="120">
        <v>40000</v>
      </c>
      <c r="I21" s="120">
        <v>160000</v>
      </c>
      <c r="J21" s="121" t="s">
        <v>422</v>
      </c>
      <c r="K21" s="120">
        <v>0</v>
      </c>
      <c r="L21" s="120">
        <v>400000</v>
      </c>
      <c r="M21" s="120">
        <v>200000</v>
      </c>
      <c r="N21" s="120">
        <v>0</v>
      </c>
      <c r="O21" s="122" t="s">
        <v>423</v>
      </c>
    </row>
    <row r="22" spans="1:15" ht="51">
      <c r="A22" s="117" t="s">
        <v>180</v>
      </c>
      <c r="B22" s="118" t="s">
        <v>198</v>
      </c>
      <c r="C22" s="118" t="s">
        <v>200</v>
      </c>
      <c r="D22" s="123" t="s">
        <v>431</v>
      </c>
      <c r="E22" s="120">
        <v>300000</v>
      </c>
      <c r="F22" s="120">
        <v>50000</v>
      </c>
      <c r="G22" s="120">
        <v>10000</v>
      </c>
      <c r="H22" s="120">
        <v>10000</v>
      </c>
      <c r="I22" s="120">
        <v>0</v>
      </c>
      <c r="J22" s="121" t="s">
        <v>422</v>
      </c>
      <c r="K22" s="120">
        <v>0</v>
      </c>
      <c r="L22" s="120">
        <v>240000</v>
      </c>
      <c r="M22" s="120">
        <v>0</v>
      </c>
      <c r="N22" s="120">
        <v>0</v>
      </c>
      <c r="O22" s="122" t="s">
        <v>423</v>
      </c>
    </row>
    <row r="23" spans="1:15" ht="12.75">
      <c r="A23" s="167" t="s">
        <v>432</v>
      </c>
      <c r="B23" s="167"/>
      <c r="C23" s="167"/>
      <c r="D23" s="167"/>
      <c r="E23" s="124">
        <f>E20+E19+E18+E17+E16+E15+E14+E13+E21+E22</f>
        <v>4795000</v>
      </c>
      <c r="F23" s="124">
        <f>F20+F19+F18+F17+F16+F15+F14+F13+F21+F22</f>
        <v>449000</v>
      </c>
      <c r="G23" s="124">
        <f>G20+G19+G18+G17+G16+G15+G14+G13+G21+G22</f>
        <v>616000</v>
      </c>
      <c r="H23" s="124">
        <f>H20+H19+H18+H17+H16+H15+H14+H13+H21+H22</f>
        <v>421235</v>
      </c>
      <c r="I23" s="124">
        <f>I20+I19+I18+I17+I16+I15+I14+I13+I21+I22</f>
        <v>194765</v>
      </c>
      <c r="J23" s="124" t="s">
        <v>433</v>
      </c>
      <c r="K23" s="124">
        <f>K20+K19+K18+K17+K16+K15+K14+K13+K21+K22</f>
        <v>0</v>
      </c>
      <c r="L23" s="124">
        <f>L20+L19+L18+L17+L16+L15+L14+L13+L21+L22</f>
        <v>2530000</v>
      </c>
      <c r="M23" s="124">
        <f>M20+M19+M18+M17+M16+M15+M14+M13+M21+M22</f>
        <v>1200000</v>
      </c>
      <c r="N23" s="124">
        <f>N20+N19+N18+N17+N16+N15+N14+N13+N21+N22</f>
        <v>0</v>
      </c>
      <c r="O23" s="124" t="s">
        <v>433</v>
      </c>
    </row>
    <row r="24" spans="1:15" ht="63.75">
      <c r="A24" s="117">
        <v>11</v>
      </c>
      <c r="B24" s="118" t="s">
        <v>204</v>
      </c>
      <c r="C24" s="117">
        <v>60013</v>
      </c>
      <c r="D24" s="121" t="s">
        <v>434</v>
      </c>
      <c r="E24" s="120">
        <v>250000</v>
      </c>
      <c r="F24" s="120">
        <v>0</v>
      </c>
      <c r="G24" s="120">
        <v>200000</v>
      </c>
      <c r="H24" s="120">
        <f>G24</f>
        <v>200000</v>
      </c>
      <c r="I24" s="120">
        <v>0</v>
      </c>
      <c r="J24" s="121" t="s">
        <v>422</v>
      </c>
      <c r="K24" s="120">
        <v>0</v>
      </c>
      <c r="L24" s="120">
        <v>50000</v>
      </c>
      <c r="M24" s="120">
        <v>0</v>
      </c>
      <c r="N24" s="120">
        <v>0</v>
      </c>
      <c r="O24" s="122" t="s">
        <v>423</v>
      </c>
    </row>
    <row r="25" spans="1:15" ht="114.75">
      <c r="A25" s="117">
        <v>12</v>
      </c>
      <c r="B25" s="118" t="s">
        <v>204</v>
      </c>
      <c r="C25" s="117">
        <v>60013</v>
      </c>
      <c r="D25" s="121" t="s">
        <v>435</v>
      </c>
      <c r="E25" s="120">
        <f>F25+G25+L25+M25</f>
        <v>290000</v>
      </c>
      <c r="F25" s="120">
        <v>0</v>
      </c>
      <c r="G25" s="120">
        <v>120000</v>
      </c>
      <c r="H25" s="120">
        <v>120000</v>
      </c>
      <c r="I25" s="120">
        <v>0</v>
      </c>
      <c r="J25" s="121" t="s">
        <v>422</v>
      </c>
      <c r="K25" s="120">
        <v>0</v>
      </c>
      <c r="L25" s="120">
        <v>170000</v>
      </c>
      <c r="M25" s="120">
        <v>0</v>
      </c>
      <c r="N25" s="120">
        <v>0</v>
      </c>
      <c r="O25" s="122" t="s">
        <v>423</v>
      </c>
    </row>
    <row r="26" spans="1:15" ht="51">
      <c r="A26" s="117">
        <v>13</v>
      </c>
      <c r="B26" s="118" t="s">
        <v>204</v>
      </c>
      <c r="C26" s="117">
        <v>60016</v>
      </c>
      <c r="D26" s="121" t="s">
        <v>436</v>
      </c>
      <c r="E26" s="120">
        <v>144256</v>
      </c>
      <c r="F26" s="120">
        <v>94256</v>
      </c>
      <c r="G26" s="120">
        <v>50000</v>
      </c>
      <c r="H26" s="120">
        <v>50000</v>
      </c>
      <c r="I26" s="120">
        <v>0</v>
      </c>
      <c r="J26" s="121" t="s">
        <v>422</v>
      </c>
      <c r="K26" s="120"/>
      <c r="L26" s="120"/>
      <c r="M26" s="120"/>
      <c r="N26" s="120"/>
      <c r="O26" s="122" t="s">
        <v>423</v>
      </c>
    </row>
    <row r="27" spans="1:15" ht="63.75">
      <c r="A27" s="117">
        <v>14</v>
      </c>
      <c r="B27" s="118" t="s">
        <v>204</v>
      </c>
      <c r="C27" s="117">
        <v>60016</v>
      </c>
      <c r="D27" s="121" t="s">
        <v>497</v>
      </c>
      <c r="E27" s="120">
        <f>G27+L27+M27+N27+F27</f>
        <v>1641562</v>
      </c>
      <c r="F27" s="120">
        <v>341562</v>
      </c>
      <c r="G27" s="120">
        <v>300000</v>
      </c>
      <c r="H27" s="120">
        <f>G27-I27</f>
        <v>300000</v>
      </c>
      <c r="I27" s="120">
        <v>0</v>
      </c>
      <c r="J27" s="121" t="s">
        <v>422</v>
      </c>
      <c r="K27" s="120">
        <v>0</v>
      </c>
      <c r="L27" s="120">
        <v>1000000</v>
      </c>
      <c r="M27" s="120">
        <v>0</v>
      </c>
      <c r="N27" s="120">
        <v>0</v>
      </c>
      <c r="O27" s="122" t="s">
        <v>423</v>
      </c>
    </row>
    <row r="28" spans="1:15" ht="51">
      <c r="A28" s="117">
        <v>15</v>
      </c>
      <c r="B28" s="118" t="s">
        <v>204</v>
      </c>
      <c r="C28" s="117">
        <v>60016</v>
      </c>
      <c r="D28" s="121" t="s">
        <v>460</v>
      </c>
      <c r="E28" s="120">
        <f>G28+L28+M28+N28+F28</f>
        <v>130000</v>
      </c>
      <c r="F28" s="120">
        <v>80000</v>
      </c>
      <c r="G28" s="120">
        <v>0</v>
      </c>
      <c r="H28" s="120">
        <f>G28</f>
        <v>0</v>
      </c>
      <c r="I28" s="120">
        <v>0</v>
      </c>
      <c r="J28" s="121" t="s">
        <v>422</v>
      </c>
      <c r="K28" s="120">
        <v>0</v>
      </c>
      <c r="L28" s="120">
        <v>50000</v>
      </c>
      <c r="M28" s="120">
        <v>0</v>
      </c>
      <c r="N28" s="120">
        <v>0</v>
      </c>
      <c r="O28" s="122" t="s">
        <v>423</v>
      </c>
    </row>
    <row r="29" spans="1:15" ht="89.25">
      <c r="A29" s="117">
        <v>16</v>
      </c>
      <c r="B29" s="118" t="s">
        <v>204</v>
      </c>
      <c r="C29" s="117">
        <v>60016</v>
      </c>
      <c r="D29" s="121" t="s">
        <v>461</v>
      </c>
      <c r="E29" s="120">
        <f>F29+G29+L29+M29</f>
        <v>706000</v>
      </c>
      <c r="F29" s="120">
        <v>106000</v>
      </c>
      <c r="G29" s="120">
        <v>600000</v>
      </c>
      <c r="H29" s="120">
        <v>120000</v>
      </c>
      <c r="I29" s="120">
        <v>480000</v>
      </c>
      <c r="J29" s="121" t="s">
        <v>422</v>
      </c>
      <c r="K29" s="120">
        <v>0</v>
      </c>
      <c r="L29" s="120">
        <v>0</v>
      </c>
      <c r="M29" s="120">
        <v>0</v>
      </c>
      <c r="N29" s="120">
        <v>0</v>
      </c>
      <c r="O29" s="122" t="s">
        <v>423</v>
      </c>
    </row>
    <row r="30" spans="1:15" ht="127.5">
      <c r="A30" s="117">
        <v>17</v>
      </c>
      <c r="B30" s="118" t="s">
        <v>204</v>
      </c>
      <c r="C30" s="117">
        <v>60016</v>
      </c>
      <c r="D30" s="121" t="s">
        <v>499</v>
      </c>
      <c r="E30" s="120">
        <v>960000</v>
      </c>
      <c r="F30" s="120">
        <v>0</v>
      </c>
      <c r="G30" s="120">
        <v>60000</v>
      </c>
      <c r="H30" s="120">
        <v>60000</v>
      </c>
      <c r="I30" s="120">
        <v>0</v>
      </c>
      <c r="J30" s="121" t="s">
        <v>422</v>
      </c>
      <c r="K30" s="120">
        <v>0</v>
      </c>
      <c r="L30" s="120">
        <v>900000</v>
      </c>
      <c r="M30" s="120">
        <v>0</v>
      </c>
      <c r="N30" s="120">
        <v>0</v>
      </c>
      <c r="O30" s="122" t="s">
        <v>423</v>
      </c>
    </row>
    <row r="31" spans="1:15" ht="63.75">
      <c r="A31" s="117">
        <v>18</v>
      </c>
      <c r="B31" s="126">
        <v>600</v>
      </c>
      <c r="C31" s="126">
        <v>60016</v>
      </c>
      <c r="D31" s="119" t="s">
        <v>437</v>
      </c>
      <c r="E31" s="120">
        <f>G31+L31+M31+N31+F31</f>
        <v>250219</v>
      </c>
      <c r="F31" s="120">
        <v>100219</v>
      </c>
      <c r="G31" s="127">
        <v>100000</v>
      </c>
      <c r="H31" s="120">
        <v>100000</v>
      </c>
      <c r="I31" s="120">
        <v>0</v>
      </c>
      <c r="J31" s="121" t="s">
        <v>422</v>
      </c>
      <c r="K31" s="120">
        <v>0</v>
      </c>
      <c r="L31" s="120">
        <v>50000</v>
      </c>
      <c r="M31" s="120">
        <v>0</v>
      </c>
      <c r="N31" s="120">
        <v>0</v>
      </c>
      <c r="O31" s="122" t="s">
        <v>423</v>
      </c>
    </row>
    <row r="32" spans="1:15" ht="63.75">
      <c r="A32" s="117">
        <v>19</v>
      </c>
      <c r="B32" s="126">
        <v>600</v>
      </c>
      <c r="C32" s="126">
        <v>60016</v>
      </c>
      <c r="D32" s="119" t="s">
        <v>438</v>
      </c>
      <c r="E32" s="120">
        <f>G32+L32+M32+N32+F32</f>
        <v>150000</v>
      </c>
      <c r="F32" s="120">
        <v>0</v>
      </c>
      <c r="G32" s="120">
        <v>30000</v>
      </c>
      <c r="H32" s="120">
        <v>30000</v>
      </c>
      <c r="I32" s="120">
        <v>0</v>
      </c>
      <c r="J32" s="121" t="s">
        <v>422</v>
      </c>
      <c r="K32" s="120">
        <v>0</v>
      </c>
      <c r="L32" s="120">
        <v>120000</v>
      </c>
      <c r="M32" s="120">
        <v>0</v>
      </c>
      <c r="N32" s="120">
        <v>0</v>
      </c>
      <c r="O32" s="122" t="s">
        <v>423</v>
      </c>
    </row>
    <row r="33" spans="1:15" ht="63.75">
      <c r="A33" s="117">
        <v>20</v>
      </c>
      <c r="B33" s="126">
        <v>600</v>
      </c>
      <c r="C33" s="126">
        <v>60016</v>
      </c>
      <c r="D33" s="119" t="s">
        <v>439</v>
      </c>
      <c r="E33" s="120">
        <f>G33+L33+M33+N33+F33</f>
        <v>85000</v>
      </c>
      <c r="F33" s="120">
        <v>5000</v>
      </c>
      <c r="G33" s="120">
        <v>80000</v>
      </c>
      <c r="H33" s="120">
        <v>80000</v>
      </c>
      <c r="I33" s="120">
        <v>0</v>
      </c>
      <c r="J33" s="121" t="s">
        <v>422</v>
      </c>
      <c r="K33" s="120">
        <v>0</v>
      </c>
      <c r="L33" s="120">
        <v>0</v>
      </c>
      <c r="M33" s="120">
        <v>0</v>
      </c>
      <c r="N33" s="120">
        <v>0</v>
      </c>
      <c r="O33" s="122" t="s">
        <v>423</v>
      </c>
    </row>
    <row r="34" spans="1:15" ht="51">
      <c r="A34" s="117">
        <v>21</v>
      </c>
      <c r="B34" s="126">
        <v>600</v>
      </c>
      <c r="C34" s="126">
        <v>60016</v>
      </c>
      <c r="D34" s="119" t="s">
        <v>440</v>
      </c>
      <c r="E34" s="120">
        <v>70000</v>
      </c>
      <c r="F34" s="120">
        <v>0</v>
      </c>
      <c r="G34" s="120">
        <v>70000</v>
      </c>
      <c r="H34" s="120">
        <v>70000</v>
      </c>
      <c r="I34" s="120">
        <v>0</v>
      </c>
      <c r="J34" s="121" t="s">
        <v>422</v>
      </c>
      <c r="K34" s="120">
        <v>0</v>
      </c>
      <c r="L34" s="120">
        <v>0</v>
      </c>
      <c r="M34" s="120">
        <v>0</v>
      </c>
      <c r="N34" s="120">
        <v>0</v>
      </c>
      <c r="O34" s="122" t="s">
        <v>423</v>
      </c>
    </row>
    <row r="35" spans="1:15" ht="51">
      <c r="A35" s="117">
        <v>22</v>
      </c>
      <c r="B35" s="126">
        <v>600</v>
      </c>
      <c r="C35" s="126">
        <v>60016</v>
      </c>
      <c r="D35" s="119" t="s">
        <v>509</v>
      </c>
      <c r="E35" s="120">
        <f>F35+G35+L35</f>
        <v>510000</v>
      </c>
      <c r="F35" s="120">
        <v>10000</v>
      </c>
      <c r="G35" s="120">
        <v>200000</v>
      </c>
      <c r="H35" s="120">
        <v>200000</v>
      </c>
      <c r="I35" s="120">
        <v>0</v>
      </c>
      <c r="J35" s="121" t="s">
        <v>422</v>
      </c>
      <c r="K35" s="120">
        <v>0</v>
      </c>
      <c r="L35" s="120">
        <v>300000</v>
      </c>
      <c r="M35" s="120">
        <v>0</v>
      </c>
      <c r="N35" s="120">
        <v>0</v>
      </c>
      <c r="O35" s="122" t="s">
        <v>423</v>
      </c>
    </row>
    <row r="36" spans="1:15" ht="12.75">
      <c r="A36" s="165" t="s">
        <v>441</v>
      </c>
      <c r="B36" s="165"/>
      <c r="C36" s="165"/>
      <c r="D36" s="165"/>
      <c r="E36" s="124">
        <f>SUM(E24:E35)</f>
        <v>5187037</v>
      </c>
      <c r="F36" s="124">
        <f>SUM(F24:F35)</f>
        <v>737037</v>
      </c>
      <c r="G36" s="124">
        <f>SUM(G24:G35)</f>
        <v>1810000</v>
      </c>
      <c r="H36" s="124">
        <f>SUM(H24:H35)</f>
        <v>1330000</v>
      </c>
      <c r="I36" s="124">
        <f>SUM(I24:I35)</f>
        <v>480000</v>
      </c>
      <c r="J36" s="124" t="s">
        <v>433</v>
      </c>
      <c r="K36" s="124">
        <f>K29+K28</f>
        <v>0</v>
      </c>
      <c r="L36" s="124">
        <f>SUM(L24:L35)</f>
        <v>2640000</v>
      </c>
      <c r="M36" s="124">
        <v>0</v>
      </c>
      <c r="N36" s="124">
        <v>0</v>
      </c>
      <c r="O36" s="125" t="s">
        <v>433</v>
      </c>
    </row>
    <row r="37" spans="1:15" ht="51">
      <c r="A37" s="117">
        <v>23</v>
      </c>
      <c r="B37" s="117">
        <v>700</v>
      </c>
      <c r="C37" s="117">
        <v>70095</v>
      </c>
      <c r="D37" s="119" t="s">
        <v>442</v>
      </c>
      <c r="E37" s="120">
        <f>F37+G37+L37+M37</f>
        <v>61000</v>
      </c>
      <c r="F37" s="120">
        <v>21000</v>
      </c>
      <c r="G37" s="120">
        <f>50000-10000</f>
        <v>40000</v>
      </c>
      <c r="H37" s="120">
        <f>G37</f>
        <v>40000</v>
      </c>
      <c r="I37" s="120">
        <v>0</v>
      </c>
      <c r="J37" s="121" t="s">
        <v>422</v>
      </c>
      <c r="K37" s="120">
        <v>0</v>
      </c>
      <c r="L37" s="120">
        <v>0</v>
      </c>
      <c r="M37" s="120">
        <v>0</v>
      </c>
      <c r="N37" s="120">
        <v>0</v>
      </c>
      <c r="O37" s="122" t="s">
        <v>423</v>
      </c>
    </row>
    <row r="38" spans="1:15" ht="102">
      <c r="A38" s="117">
        <v>24</v>
      </c>
      <c r="B38" s="117">
        <v>700</v>
      </c>
      <c r="C38" s="117">
        <v>70095</v>
      </c>
      <c r="D38" s="119" t="s">
        <v>443</v>
      </c>
      <c r="E38" s="120">
        <f>G38+L38+M38+N38+F38</f>
        <v>100000</v>
      </c>
      <c r="F38" s="120"/>
      <c r="G38" s="120">
        <v>100000</v>
      </c>
      <c r="H38" s="120">
        <v>100000</v>
      </c>
      <c r="I38" s="120">
        <v>0</v>
      </c>
      <c r="J38" s="121" t="s">
        <v>422</v>
      </c>
      <c r="K38" s="120">
        <v>0</v>
      </c>
      <c r="L38" s="120">
        <v>0</v>
      </c>
      <c r="M38" s="120">
        <v>0</v>
      </c>
      <c r="N38" s="120">
        <v>0</v>
      </c>
      <c r="O38" s="122" t="s">
        <v>423</v>
      </c>
    </row>
    <row r="39" spans="1:15" ht="12.75">
      <c r="A39" s="165" t="s">
        <v>444</v>
      </c>
      <c r="B39" s="165"/>
      <c r="C39" s="165"/>
      <c r="D39" s="165"/>
      <c r="E39" s="124">
        <f>E37+E38</f>
        <v>161000</v>
      </c>
      <c r="F39" s="124">
        <f>F37+F38</f>
        <v>21000</v>
      </c>
      <c r="G39" s="124">
        <f>G37+G38</f>
        <v>140000</v>
      </c>
      <c r="H39" s="124">
        <f>H37+H38</f>
        <v>140000</v>
      </c>
      <c r="I39" s="124">
        <f>I37+I38</f>
        <v>0</v>
      </c>
      <c r="J39" s="124" t="s">
        <v>433</v>
      </c>
      <c r="K39" s="124">
        <f>K38+K37</f>
        <v>0</v>
      </c>
      <c r="L39" s="124">
        <f>L38+L37</f>
        <v>0</v>
      </c>
      <c r="M39" s="124">
        <f>M38+M37</f>
        <v>0</v>
      </c>
      <c r="N39" s="124">
        <f>N38+N37</f>
        <v>0</v>
      </c>
      <c r="O39" s="124" t="s">
        <v>433</v>
      </c>
    </row>
    <row r="40" spans="1:15" ht="63.75">
      <c r="A40" s="122">
        <v>25</v>
      </c>
      <c r="B40" s="122">
        <v>801</v>
      </c>
      <c r="C40" s="122">
        <v>80101</v>
      </c>
      <c r="D40" s="123" t="s">
        <v>445</v>
      </c>
      <c r="E40" s="120">
        <f>G40+F40+L40</f>
        <v>447000</v>
      </c>
      <c r="F40" s="120">
        <v>170000</v>
      </c>
      <c r="G40" s="120">
        <f>250000+27000</f>
        <v>277000</v>
      </c>
      <c r="H40" s="120">
        <f>150000+27000</f>
        <v>177000</v>
      </c>
      <c r="I40" s="120">
        <v>0</v>
      </c>
      <c r="J40" s="121" t="s">
        <v>501</v>
      </c>
      <c r="K40" s="120">
        <v>0</v>
      </c>
      <c r="L40" s="120">
        <v>0</v>
      </c>
      <c r="M40" s="120">
        <v>0</v>
      </c>
      <c r="N40" s="120">
        <v>0</v>
      </c>
      <c r="O40" s="122" t="s">
        <v>423</v>
      </c>
    </row>
    <row r="41" spans="1:15" ht="51">
      <c r="A41" s="122">
        <v>26</v>
      </c>
      <c r="B41" s="122">
        <v>801</v>
      </c>
      <c r="C41" s="122">
        <v>80110</v>
      </c>
      <c r="D41" s="123" t="s">
        <v>462</v>
      </c>
      <c r="E41" s="120">
        <v>903000</v>
      </c>
      <c r="F41" s="120">
        <v>0</v>
      </c>
      <c r="G41" s="120">
        <v>3000</v>
      </c>
      <c r="H41" s="120">
        <v>3000</v>
      </c>
      <c r="I41" s="120">
        <v>0</v>
      </c>
      <c r="J41" s="121" t="s">
        <v>422</v>
      </c>
      <c r="K41" s="120">
        <v>0</v>
      </c>
      <c r="L41" s="120">
        <v>500000</v>
      </c>
      <c r="M41" s="120">
        <v>400000</v>
      </c>
      <c r="N41" s="120"/>
      <c r="O41" s="122"/>
    </row>
    <row r="42" spans="1:15" s="135" customFormat="1" ht="51">
      <c r="A42" s="165" t="s">
        <v>446</v>
      </c>
      <c r="B42" s="165"/>
      <c r="C42" s="165"/>
      <c r="D42" s="165"/>
      <c r="E42" s="124">
        <f>E41+E40</f>
        <v>1350000</v>
      </c>
      <c r="F42" s="124">
        <f>F41+F40</f>
        <v>170000</v>
      </c>
      <c r="G42" s="124">
        <f>G41+G40</f>
        <v>280000</v>
      </c>
      <c r="H42" s="124">
        <f>H41+H40</f>
        <v>180000</v>
      </c>
      <c r="I42" s="124">
        <f>I41+I40</f>
        <v>0</v>
      </c>
      <c r="J42" s="134" t="s">
        <v>500</v>
      </c>
      <c r="K42" s="124">
        <f>K41+K40</f>
        <v>0</v>
      </c>
      <c r="L42" s="124">
        <f>L41+L40</f>
        <v>500000</v>
      </c>
      <c r="M42" s="124">
        <f>M41+M40</f>
        <v>400000</v>
      </c>
      <c r="N42" s="124">
        <f>N41+N40</f>
        <v>0</v>
      </c>
      <c r="O42" s="124" t="s">
        <v>433</v>
      </c>
    </row>
    <row r="43" spans="1:15" ht="63.75">
      <c r="A43" s="117">
        <v>27</v>
      </c>
      <c r="B43" s="118" t="s">
        <v>393</v>
      </c>
      <c r="C43" s="117">
        <v>90015</v>
      </c>
      <c r="D43" s="119" t="s">
        <v>447</v>
      </c>
      <c r="E43" s="120">
        <f>G43+L43+M43+N43+F43</f>
        <v>34000</v>
      </c>
      <c r="F43" s="120">
        <v>4000</v>
      </c>
      <c r="G43" s="120">
        <v>30000</v>
      </c>
      <c r="H43" s="120">
        <v>30000</v>
      </c>
      <c r="I43" s="120">
        <v>0</v>
      </c>
      <c r="J43" s="121" t="s">
        <v>422</v>
      </c>
      <c r="K43" s="120">
        <v>0</v>
      </c>
      <c r="L43" s="120">
        <v>0</v>
      </c>
      <c r="M43" s="120">
        <v>0</v>
      </c>
      <c r="N43" s="120">
        <v>0</v>
      </c>
      <c r="O43" s="122" t="s">
        <v>423</v>
      </c>
    </row>
    <row r="44" spans="1:15" ht="51">
      <c r="A44" s="117">
        <v>28</v>
      </c>
      <c r="B44" s="118" t="s">
        <v>393</v>
      </c>
      <c r="C44" s="117">
        <v>90095</v>
      </c>
      <c r="D44" s="119" t="s">
        <v>511</v>
      </c>
      <c r="E44" s="120">
        <f>G44+L44+M44+N44+F44</f>
        <v>1403000</v>
      </c>
      <c r="F44" s="120">
        <v>0</v>
      </c>
      <c r="G44" s="120">
        <v>3000</v>
      </c>
      <c r="H44" s="120">
        <f>G44</f>
        <v>3000</v>
      </c>
      <c r="I44" s="120">
        <v>0</v>
      </c>
      <c r="J44" s="121" t="s">
        <v>422</v>
      </c>
      <c r="K44" s="120">
        <v>0</v>
      </c>
      <c r="L44" s="120">
        <v>1400000</v>
      </c>
      <c r="M44" s="120">
        <v>0</v>
      </c>
      <c r="N44" s="120">
        <v>0</v>
      </c>
      <c r="O44" s="122" t="s">
        <v>423</v>
      </c>
    </row>
    <row r="45" spans="1:15" ht="63.75">
      <c r="A45" s="117">
        <v>29</v>
      </c>
      <c r="B45" s="118" t="s">
        <v>393</v>
      </c>
      <c r="C45" s="117">
        <v>90095</v>
      </c>
      <c r="D45" s="119" t="s">
        <v>463</v>
      </c>
      <c r="E45" s="120">
        <f>G45+L45+M45+N45+F45</f>
        <v>1890000</v>
      </c>
      <c r="F45" s="120">
        <v>0</v>
      </c>
      <c r="G45" s="120">
        <v>90000</v>
      </c>
      <c r="H45" s="120">
        <v>90000</v>
      </c>
      <c r="I45" s="120">
        <v>0</v>
      </c>
      <c r="J45" s="121" t="s">
        <v>422</v>
      </c>
      <c r="K45" s="120">
        <v>0</v>
      </c>
      <c r="L45" s="120">
        <v>800000</v>
      </c>
      <c r="M45" s="120">
        <v>1000000</v>
      </c>
      <c r="N45" s="120">
        <v>0</v>
      </c>
      <c r="O45" s="122" t="s">
        <v>423</v>
      </c>
    </row>
    <row r="46" spans="1:15" ht="51">
      <c r="A46" s="165" t="s">
        <v>448</v>
      </c>
      <c r="B46" s="165"/>
      <c r="C46" s="165"/>
      <c r="D46" s="165"/>
      <c r="E46" s="124">
        <f>E45+E44+E43</f>
        <v>3327000</v>
      </c>
      <c r="F46" s="124">
        <f>F45+F44+F43</f>
        <v>4000</v>
      </c>
      <c r="G46" s="124">
        <f>G45+G44+G43</f>
        <v>123000</v>
      </c>
      <c r="H46" s="124">
        <f>H45+H44+H43</f>
        <v>123000</v>
      </c>
      <c r="I46" s="124">
        <f>I45+I44+I43</f>
        <v>0</v>
      </c>
      <c r="J46" s="121" t="s">
        <v>422</v>
      </c>
      <c r="K46" s="124">
        <f>K45+K44+K43</f>
        <v>0</v>
      </c>
      <c r="L46" s="124">
        <f>L45+L44+L43</f>
        <v>2200000</v>
      </c>
      <c r="M46" s="124">
        <f>M45+M44+M43</f>
        <v>1000000</v>
      </c>
      <c r="N46" s="124">
        <f>N45+N44+N43</f>
        <v>0</v>
      </c>
      <c r="O46" s="128" t="s">
        <v>433</v>
      </c>
    </row>
    <row r="47" spans="1:15" ht="204">
      <c r="A47" s="122">
        <v>30</v>
      </c>
      <c r="B47" s="123">
        <v>926</v>
      </c>
      <c r="C47" s="123">
        <v>92601</v>
      </c>
      <c r="D47" s="123" t="s">
        <v>464</v>
      </c>
      <c r="E47" s="120">
        <v>1000000</v>
      </c>
      <c r="F47" s="120">
        <v>50000</v>
      </c>
      <c r="G47" s="120">
        <v>0</v>
      </c>
      <c r="H47" s="120">
        <v>0</v>
      </c>
      <c r="I47" s="120">
        <v>0</v>
      </c>
      <c r="J47" s="121" t="s">
        <v>422</v>
      </c>
      <c r="K47" s="120">
        <v>0</v>
      </c>
      <c r="L47" s="120">
        <v>950000</v>
      </c>
      <c r="M47" s="120">
        <v>0</v>
      </c>
      <c r="N47" s="120">
        <v>0</v>
      </c>
      <c r="O47" s="122" t="s">
        <v>423</v>
      </c>
    </row>
    <row r="48" spans="1:15" ht="12.75">
      <c r="A48" s="165" t="s">
        <v>449</v>
      </c>
      <c r="B48" s="165"/>
      <c r="C48" s="165"/>
      <c r="D48" s="165"/>
      <c r="E48" s="124">
        <f>E47</f>
        <v>1000000</v>
      </c>
      <c r="F48" s="124">
        <f>F47</f>
        <v>50000</v>
      </c>
      <c r="G48" s="124">
        <f>G47</f>
        <v>0</v>
      </c>
      <c r="H48" s="124">
        <f>H47</f>
        <v>0</v>
      </c>
      <c r="I48" s="124">
        <f>I47</f>
        <v>0</v>
      </c>
      <c r="J48" s="124" t="s">
        <v>433</v>
      </c>
      <c r="K48" s="124">
        <f>K47</f>
        <v>0</v>
      </c>
      <c r="L48" s="124">
        <f>L47</f>
        <v>950000</v>
      </c>
      <c r="M48" s="124">
        <f>M47</f>
        <v>0</v>
      </c>
      <c r="N48" s="124">
        <f>N47</f>
        <v>0</v>
      </c>
      <c r="O48" s="128" t="s">
        <v>433</v>
      </c>
    </row>
    <row r="49" spans="1:15" ht="51">
      <c r="A49" s="166" t="s">
        <v>40</v>
      </c>
      <c r="B49" s="166"/>
      <c r="C49" s="166"/>
      <c r="D49" s="166"/>
      <c r="E49" s="129">
        <f>E48+E46+E42+E39+E36+E23</f>
        <v>15820037</v>
      </c>
      <c r="F49" s="129">
        <f>F48+F46+F42+F39+F36+F23</f>
        <v>1431037</v>
      </c>
      <c r="G49" s="129">
        <f>G48+G46+G42+G39+G36+G23</f>
        <v>2969000</v>
      </c>
      <c r="H49" s="129">
        <f>H48+H46+H42+H39+H36+H23</f>
        <v>2194235</v>
      </c>
      <c r="I49" s="129">
        <f>I48+I46+I42+I39+I36+I23</f>
        <v>674765</v>
      </c>
      <c r="J49" s="134" t="s">
        <v>500</v>
      </c>
      <c r="K49" s="129">
        <v>0</v>
      </c>
      <c r="L49" s="129">
        <f>L48+L46+L42+L39+L36+L23</f>
        <v>8820000</v>
      </c>
      <c r="M49" s="129">
        <f>M48+M46+M42+M39+M36+M23</f>
        <v>2600000</v>
      </c>
      <c r="N49" s="129">
        <f>N48+N46+N42+N39+N36+N23</f>
        <v>0</v>
      </c>
      <c r="O49" s="129" t="s">
        <v>433</v>
      </c>
    </row>
    <row r="51" spans="5:9" ht="12.75">
      <c r="E51" s="116"/>
      <c r="G51" s="116"/>
      <c r="H51" s="116"/>
      <c r="I51" s="116"/>
    </row>
    <row r="52" spans="5:15" ht="12.75"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</row>
    <row r="53" spans="7:9" ht="12.75">
      <c r="G53" s="116"/>
      <c r="I53" s="116"/>
    </row>
    <row r="56" ht="12.75">
      <c r="G56" s="116"/>
    </row>
  </sheetData>
  <sheetProtection/>
  <mergeCells count="26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46:D46"/>
    <mergeCell ref="A48:D48"/>
    <mergeCell ref="A49:D49"/>
    <mergeCell ref="A23:D23"/>
    <mergeCell ref="A36:D36"/>
    <mergeCell ref="A39:D39"/>
    <mergeCell ref="A42:D4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6" sqref="A6:J6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1" customWidth="1"/>
    <col min="5" max="5" width="12.75390625" style="1" customWidth="1"/>
    <col min="6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6384" width="9.125" style="1" customWidth="1"/>
  </cols>
  <sheetData>
    <row r="1" spans="8:10" ht="12.75" customHeight="1">
      <c r="H1" s="182" t="s">
        <v>523</v>
      </c>
      <c r="I1" s="182"/>
      <c r="J1" s="182"/>
    </row>
    <row r="2" spans="8:10" ht="12.75" customHeight="1">
      <c r="H2" s="182"/>
      <c r="I2" s="182"/>
      <c r="J2" s="182"/>
    </row>
    <row r="3" spans="8:10" ht="12.75">
      <c r="H3" s="182"/>
      <c r="I3" s="182"/>
      <c r="J3" s="182"/>
    </row>
    <row r="4" spans="8:10" ht="12.75">
      <c r="H4" s="182"/>
      <c r="I4" s="182"/>
      <c r="J4" s="182"/>
    </row>
    <row r="5" spans="8:10" ht="12.75">
      <c r="H5" s="182"/>
      <c r="I5" s="182"/>
      <c r="J5" s="182"/>
    </row>
    <row r="6" spans="1:10" ht="18">
      <c r="A6" s="170" t="s">
        <v>522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0.5" customHeight="1">
      <c r="A7" s="6"/>
      <c r="B7" s="6"/>
      <c r="C7" s="6"/>
      <c r="D7" s="6"/>
      <c r="E7" s="6"/>
      <c r="F7" s="6"/>
      <c r="G7" s="6"/>
      <c r="H7" s="6"/>
      <c r="I7" s="6"/>
      <c r="J7" s="5" t="s">
        <v>14</v>
      </c>
    </row>
    <row r="8" spans="1:10" s="17" customFormat="1" ht="19.5" customHeight="1">
      <c r="A8" s="187" t="s">
        <v>18</v>
      </c>
      <c r="B8" s="187" t="s">
        <v>1</v>
      </c>
      <c r="C8" s="187" t="s">
        <v>13</v>
      </c>
      <c r="D8" s="188" t="s">
        <v>44</v>
      </c>
      <c r="E8" s="188" t="s">
        <v>22</v>
      </c>
      <c r="F8" s="188"/>
      <c r="G8" s="188"/>
      <c r="H8" s="188"/>
      <c r="I8" s="188"/>
      <c r="J8" s="188" t="s">
        <v>20</v>
      </c>
    </row>
    <row r="9" spans="1:10" s="17" customFormat="1" ht="19.5" customHeight="1">
      <c r="A9" s="187"/>
      <c r="B9" s="187"/>
      <c r="C9" s="187"/>
      <c r="D9" s="188"/>
      <c r="E9" s="188" t="s">
        <v>52</v>
      </c>
      <c r="F9" s="188" t="s">
        <v>10</v>
      </c>
      <c r="G9" s="188"/>
      <c r="H9" s="188"/>
      <c r="I9" s="188"/>
      <c r="J9" s="188"/>
    </row>
    <row r="10" spans="1:10" s="17" customFormat="1" ht="29.25" customHeight="1">
      <c r="A10" s="187"/>
      <c r="B10" s="187"/>
      <c r="C10" s="187"/>
      <c r="D10" s="188"/>
      <c r="E10" s="188"/>
      <c r="F10" s="188" t="s">
        <v>41</v>
      </c>
      <c r="G10" s="188" t="s">
        <v>37</v>
      </c>
      <c r="H10" s="188" t="s">
        <v>43</v>
      </c>
      <c r="I10" s="188" t="s">
        <v>38</v>
      </c>
      <c r="J10" s="188"/>
    </row>
    <row r="11" spans="1:10" s="17" customFormat="1" ht="19.5" customHeight="1">
      <c r="A11" s="187"/>
      <c r="B11" s="187"/>
      <c r="C11" s="187"/>
      <c r="D11" s="188"/>
      <c r="E11" s="188"/>
      <c r="F11" s="188"/>
      <c r="G11" s="188"/>
      <c r="H11" s="188"/>
      <c r="I11" s="188"/>
      <c r="J11" s="188"/>
    </row>
    <row r="12" spans="1:10" s="17" customFormat="1" ht="19.5" customHeight="1">
      <c r="A12" s="187"/>
      <c r="B12" s="187"/>
      <c r="C12" s="187"/>
      <c r="D12" s="188"/>
      <c r="E12" s="188"/>
      <c r="F12" s="188"/>
      <c r="G12" s="188"/>
      <c r="H12" s="188"/>
      <c r="I12" s="188"/>
      <c r="J12" s="188"/>
    </row>
    <row r="13" spans="1:10" ht="7.5" customHeight="1">
      <c r="A13" s="9">
        <v>1</v>
      </c>
      <c r="B13" s="9">
        <v>2</v>
      </c>
      <c r="C13" s="9">
        <v>3</v>
      </c>
      <c r="D13" s="9">
        <v>4</v>
      </c>
      <c r="E13" s="9">
        <v>6</v>
      </c>
      <c r="F13" s="9">
        <v>7</v>
      </c>
      <c r="G13" s="9">
        <v>8</v>
      </c>
      <c r="H13" s="9">
        <v>9</v>
      </c>
      <c r="I13" s="9">
        <v>10</v>
      </c>
      <c r="J13" s="9">
        <v>11</v>
      </c>
    </row>
    <row r="14" spans="1:10" ht="54" customHeight="1">
      <c r="A14" s="117">
        <v>1</v>
      </c>
      <c r="B14" s="117">
        <v>600</v>
      </c>
      <c r="C14" s="117">
        <v>60016</v>
      </c>
      <c r="D14" s="131" t="s">
        <v>450</v>
      </c>
      <c r="E14" s="127">
        <f>F14</f>
        <v>100000</v>
      </c>
      <c r="F14" s="127">
        <v>100000</v>
      </c>
      <c r="G14" s="120">
        <v>0</v>
      </c>
      <c r="H14" s="121" t="s">
        <v>21</v>
      </c>
      <c r="I14" s="117">
        <v>0</v>
      </c>
      <c r="J14" s="122" t="s">
        <v>423</v>
      </c>
    </row>
    <row r="15" spans="1:10" ht="60" customHeight="1">
      <c r="A15" s="117">
        <v>2</v>
      </c>
      <c r="B15" s="117">
        <v>600</v>
      </c>
      <c r="C15" s="117">
        <v>60016</v>
      </c>
      <c r="D15" s="131" t="s">
        <v>451</v>
      </c>
      <c r="E15" s="127">
        <v>180000</v>
      </c>
      <c r="F15" s="127">
        <v>36000</v>
      </c>
      <c r="G15" s="120">
        <v>144000</v>
      </c>
      <c r="H15" s="121" t="s">
        <v>21</v>
      </c>
      <c r="I15" s="117">
        <v>0</v>
      </c>
      <c r="J15" s="122" t="s">
        <v>423</v>
      </c>
    </row>
    <row r="16" spans="1:10" ht="57.75" customHeight="1">
      <c r="A16" s="117">
        <v>3</v>
      </c>
      <c r="B16" s="117">
        <v>600</v>
      </c>
      <c r="C16" s="117">
        <v>60016</v>
      </c>
      <c r="D16" s="131" t="s">
        <v>452</v>
      </c>
      <c r="E16" s="127">
        <v>220000</v>
      </c>
      <c r="F16" s="127">
        <v>44000</v>
      </c>
      <c r="G16" s="120">
        <v>176000</v>
      </c>
      <c r="H16" s="121" t="s">
        <v>21</v>
      </c>
      <c r="I16" s="117">
        <v>0</v>
      </c>
      <c r="J16" s="122" t="s">
        <v>423</v>
      </c>
    </row>
    <row r="17" spans="1:10" ht="57.75" customHeight="1">
      <c r="A17" s="117">
        <v>4</v>
      </c>
      <c r="B17" s="117">
        <v>600</v>
      </c>
      <c r="C17" s="117">
        <v>60016</v>
      </c>
      <c r="D17" s="131" t="s">
        <v>453</v>
      </c>
      <c r="E17" s="127">
        <v>180000</v>
      </c>
      <c r="F17" s="127">
        <v>36000</v>
      </c>
      <c r="G17" s="120">
        <v>144000</v>
      </c>
      <c r="H17" s="121" t="s">
        <v>21</v>
      </c>
      <c r="I17" s="117">
        <v>0</v>
      </c>
      <c r="J17" s="122" t="s">
        <v>423</v>
      </c>
    </row>
    <row r="18" spans="1:10" ht="56.25" customHeight="1">
      <c r="A18" s="117">
        <v>5</v>
      </c>
      <c r="B18" s="117">
        <v>600</v>
      </c>
      <c r="C18" s="117">
        <v>60016</v>
      </c>
      <c r="D18" s="131" t="s">
        <v>454</v>
      </c>
      <c r="E18" s="127">
        <v>10000</v>
      </c>
      <c r="F18" s="127">
        <v>10000</v>
      </c>
      <c r="G18" s="120">
        <v>0</v>
      </c>
      <c r="H18" s="121" t="s">
        <v>21</v>
      </c>
      <c r="I18" s="117">
        <v>0</v>
      </c>
      <c r="J18" s="122" t="s">
        <v>423</v>
      </c>
    </row>
    <row r="19" spans="1:10" ht="54.75" customHeight="1">
      <c r="A19" s="117">
        <v>6</v>
      </c>
      <c r="B19" s="117">
        <v>600</v>
      </c>
      <c r="C19" s="117">
        <v>60016</v>
      </c>
      <c r="D19" s="131" t="s">
        <v>455</v>
      </c>
      <c r="E19" s="127">
        <v>85000</v>
      </c>
      <c r="F19" s="127">
        <v>85000</v>
      </c>
      <c r="G19" s="120">
        <v>0</v>
      </c>
      <c r="H19" s="121" t="s">
        <v>21</v>
      </c>
      <c r="I19" s="117">
        <v>0</v>
      </c>
      <c r="J19" s="122" t="s">
        <v>423</v>
      </c>
    </row>
    <row r="20" spans="1:10" s="135" customFormat="1" ht="57.75" customHeight="1">
      <c r="A20" s="184" t="s">
        <v>441</v>
      </c>
      <c r="B20" s="185"/>
      <c r="C20" s="185"/>
      <c r="D20" s="186"/>
      <c r="E20" s="137">
        <f>E19+E18+E17+E16+E15+E14</f>
        <v>775000</v>
      </c>
      <c r="F20" s="137">
        <f>F19+F18+F17+F16+F15+F14</f>
        <v>311000</v>
      </c>
      <c r="G20" s="137">
        <f>G19+G18+G17+G16+G15+G14</f>
        <v>464000</v>
      </c>
      <c r="H20" s="134" t="s">
        <v>21</v>
      </c>
      <c r="I20" s="128">
        <v>0</v>
      </c>
      <c r="J20" s="125" t="s">
        <v>433</v>
      </c>
    </row>
    <row r="21" spans="1:10" s="136" customFormat="1" ht="57.75" customHeight="1">
      <c r="A21" s="117">
        <v>7</v>
      </c>
      <c r="B21" s="117">
        <v>700</v>
      </c>
      <c r="C21" s="117">
        <v>70005</v>
      </c>
      <c r="D21" s="117" t="s">
        <v>496</v>
      </c>
      <c r="E21" s="127">
        <v>100000</v>
      </c>
      <c r="F21" s="127">
        <v>100000</v>
      </c>
      <c r="G21" s="127">
        <v>0</v>
      </c>
      <c r="H21" s="121" t="s">
        <v>21</v>
      </c>
      <c r="I21" s="117">
        <v>0</v>
      </c>
      <c r="J21" s="122" t="s">
        <v>423</v>
      </c>
    </row>
    <row r="22" spans="1:10" s="135" customFormat="1" ht="57.75" customHeight="1">
      <c r="A22" s="184" t="s">
        <v>444</v>
      </c>
      <c r="B22" s="185"/>
      <c r="C22" s="185"/>
      <c r="D22" s="186"/>
      <c r="E22" s="137">
        <f>E21</f>
        <v>100000</v>
      </c>
      <c r="F22" s="137">
        <f>F21</f>
        <v>100000</v>
      </c>
      <c r="G22" s="137">
        <v>0</v>
      </c>
      <c r="H22" s="134" t="s">
        <v>21</v>
      </c>
      <c r="I22" s="128">
        <v>0</v>
      </c>
      <c r="J22" s="125" t="s">
        <v>433</v>
      </c>
    </row>
    <row r="23" spans="1:10" s="136" customFormat="1" ht="57.75" customHeight="1">
      <c r="A23" s="117">
        <v>8</v>
      </c>
      <c r="B23" s="117">
        <v>750</v>
      </c>
      <c r="C23" s="117">
        <v>75023</v>
      </c>
      <c r="D23" s="131" t="s">
        <v>465</v>
      </c>
      <c r="E23" s="127">
        <f>F23</f>
        <v>100000</v>
      </c>
      <c r="F23" s="127">
        <v>100000</v>
      </c>
      <c r="G23" s="127">
        <v>0</v>
      </c>
      <c r="H23" s="121" t="s">
        <v>21</v>
      </c>
      <c r="I23" s="117">
        <v>0</v>
      </c>
      <c r="J23" s="122" t="s">
        <v>423</v>
      </c>
    </row>
    <row r="24" spans="1:10" s="135" customFormat="1" ht="57.75" customHeight="1">
      <c r="A24" s="184" t="s">
        <v>466</v>
      </c>
      <c r="B24" s="185"/>
      <c r="C24" s="185"/>
      <c r="D24" s="186"/>
      <c r="E24" s="137">
        <f>E23</f>
        <v>100000</v>
      </c>
      <c r="F24" s="137">
        <f>F23</f>
        <v>100000</v>
      </c>
      <c r="G24" s="137">
        <v>0</v>
      </c>
      <c r="H24" s="121" t="s">
        <v>21</v>
      </c>
      <c r="I24" s="128">
        <v>0</v>
      </c>
      <c r="J24" s="125" t="s">
        <v>433</v>
      </c>
    </row>
    <row r="25" spans="1:10" ht="89.25">
      <c r="A25" s="117">
        <v>9</v>
      </c>
      <c r="B25" s="130">
        <v>851</v>
      </c>
      <c r="C25" s="130">
        <v>85121</v>
      </c>
      <c r="D25" s="132" t="s">
        <v>456</v>
      </c>
      <c r="E25" s="120">
        <v>50000</v>
      </c>
      <c r="F25" s="120">
        <v>50000</v>
      </c>
      <c r="G25" s="120">
        <v>0</v>
      </c>
      <c r="H25" s="121" t="s">
        <v>21</v>
      </c>
      <c r="I25" s="117">
        <v>0</v>
      </c>
      <c r="J25" s="122" t="s">
        <v>423</v>
      </c>
    </row>
    <row r="26" spans="1:10" s="135" customFormat="1" ht="54" customHeight="1">
      <c r="A26" s="184" t="s">
        <v>467</v>
      </c>
      <c r="B26" s="185"/>
      <c r="C26" s="185"/>
      <c r="D26" s="186"/>
      <c r="E26" s="124">
        <f>E25</f>
        <v>50000</v>
      </c>
      <c r="F26" s="124">
        <f>F25</f>
        <v>50000</v>
      </c>
      <c r="G26" s="124">
        <f>G25</f>
        <v>0</v>
      </c>
      <c r="H26" s="134" t="s">
        <v>21</v>
      </c>
      <c r="I26" s="128">
        <v>0</v>
      </c>
      <c r="J26" s="125" t="s">
        <v>433</v>
      </c>
    </row>
    <row r="27" spans="1:10" ht="54.75" customHeight="1">
      <c r="A27" s="117">
        <v>10</v>
      </c>
      <c r="B27" s="117">
        <v>900</v>
      </c>
      <c r="C27" s="117">
        <v>90015</v>
      </c>
      <c r="D27" s="131" t="s">
        <v>457</v>
      </c>
      <c r="E27" s="120">
        <v>55000</v>
      </c>
      <c r="F27" s="120">
        <v>55000</v>
      </c>
      <c r="G27" s="120">
        <v>0</v>
      </c>
      <c r="H27" s="121" t="s">
        <v>21</v>
      </c>
      <c r="I27" s="117">
        <v>0</v>
      </c>
      <c r="J27" s="122" t="s">
        <v>423</v>
      </c>
    </row>
    <row r="28" spans="1:10" ht="51">
      <c r="A28" s="117">
        <v>11</v>
      </c>
      <c r="B28" s="117">
        <v>900</v>
      </c>
      <c r="C28" s="117">
        <v>90015</v>
      </c>
      <c r="D28" s="133" t="s">
        <v>458</v>
      </c>
      <c r="E28" s="120">
        <v>9000</v>
      </c>
      <c r="F28" s="120">
        <v>9000</v>
      </c>
      <c r="G28" s="120">
        <v>0</v>
      </c>
      <c r="H28" s="121" t="s">
        <v>21</v>
      </c>
      <c r="I28" s="117">
        <v>0</v>
      </c>
      <c r="J28" s="122" t="s">
        <v>423</v>
      </c>
    </row>
    <row r="29" spans="1:10" ht="51">
      <c r="A29" s="117">
        <v>12</v>
      </c>
      <c r="B29" s="117">
        <v>900</v>
      </c>
      <c r="C29" s="117">
        <v>90095</v>
      </c>
      <c r="D29" s="131" t="s">
        <v>459</v>
      </c>
      <c r="E29" s="120">
        <v>50000</v>
      </c>
      <c r="F29" s="120">
        <v>50000</v>
      </c>
      <c r="G29" s="120">
        <v>0</v>
      </c>
      <c r="H29" s="121" t="s">
        <v>21</v>
      </c>
      <c r="I29" s="117">
        <v>0</v>
      </c>
      <c r="J29" s="122" t="s">
        <v>423</v>
      </c>
    </row>
    <row r="30" spans="1:10" ht="51">
      <c r="A30" s="117">
        <v>13</v>
      </c>
      <c r="B30" s="117">
        <v>900</v>
      </c>
      <c r="C30" s="117">
        <v>90095</v>
      </c>
      <c r="D30" s="131" t="s">
        <v>514</v>
      </c>
      <c r="E30" s="120">
        <v>600000</v>
      </c>
      <c r="F30" s="120">
        <v>300000</v>
      </c>
      <c r="G30" s="120">
        <v>0</v>
      </c>
      <c r="H30" s="121" t="s">
        <v>508</v>
      </c>
      <c r="I30" s="117">
        <v>0</v>
      </c>
      <c r="J30" s="122" t="s">
        <v>423</v>
      </c>
    </row>
    <row r="31" spans="1:10" s="135" customFormat="1" ht="54.75" customHeight="1">
      <c r="A31" s="184" t="s">
        <v>448</v>
      </c>
      <c r="B31" s="185"/>
      <c r="C31" s="185"/>
      <c r="D31" s="186"/>
      <c r="E31" s="124">
        <f>E30+E29+E28+E27</f>
        <v>714000</v>
      </c>
      <c r="F31" s="124">
        <f>F30+F29+F28+F27</f>
        <v>414000</v>
      </c>
      <c r="G31" s="124">
        <f>G30+G29+G28+G27</f>
        <v>0</v>
      </c>
      <c r="H31" s="134" t="s">
        <v>508</v>
      </c>
      <c r="I31" s="128">
        <v>0</v>
      </c>
      <c r="J31" s="125" t="s">
        <v>433</v>
      </c>
    </row>
    <row r="32" spans="1:10" s="135" customFormat="1" ht="66.75" customHeight="1">
      <c r="A32" s="184" t="s">
        <v>40</v>
      </c>
      <c r="B32" s="185"/>
      <c r="C32" s="185"/>
      <c r="D32" s="186"/>
      <c r="E32" s="124">
        <f>E31+E26+E24+E22+E20</f>
        <v>1739000</v>
      </c>
      <c r="F32" s="124">
        <f>F31+F26+F24+F22+F20</f>
        <v>975000</v>
      </c>
      <c r="G32" s="124">
        <f>G31+G26+G20+G24</f>
        <v>464000</v>
      </c>
      <c r="H32" s="134" t="s">
        <v>508</v>
      </c>
      <c r="I32" s="128">
        <v>0</v>
      </c>
      <c r="J32" s="128" t="s">
        <v>433</v>
      </c>
    </row>
    <row r="38" ht="12.75">
      <c r="F38" s="116"/>
    </row>
    <row r="39" spans="5:7" ht="12.75">
      <c r="E39" s="116"/>
      <c r="F39" s="116"/>
      <c r="G39" s="116"/>
    </row>
    <row r="41" ht="12.75">
      <c r="G41" s="116"/>
    </row>
  </sheetData>
  <sheetProtection/>
  <mergeCells count="20">
    <mergeCell ref="H1:J5"/>
    <mergeCell ref="F10:F12"/>
    <mergeCell ref="G10:G12"/>
    <mergeCell ref="H10:H12"/>
    <mergeCell ref="I10:I12"/>
    <mergeCell ref="A32:D32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20:D20"/>
    <mergeCell ref="A24:D24"/>
    <mergeCell ref="A26:D26"/>
    <mergeCell ref="A31:D31"/>
    <mergeCell ref="A22:D22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6" sqref="A6:D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4:6" ht="12.75">
      <c r="D1" s="182" t="s">
        <v>525</v>
      </c>
      <c r="E1" s="182"/>
      <c r="F1" s="182"/>
    </row>
    <row r="2" spans="4:6" ht="12.75" customHeight="1">
      <c r="D2" s="182"/>
      <c r="E2" s="182"/>
      <c r="F2" s="182"/>
    </row>
    <row r="3" spans="4:6" ht="12.75">
      <c r="D3" s="182"/>
      <c r="E3" s="182"/>
      <c r="F3" s="182"/>
    </row>
    <row r="4" spans="4:6" ht="12.75">
      <c r="D4" s="182"/>
      <c r="E4" s="182"/>
      <c r="F4" s="182"/>
    </row>
    <row r="5" spans="4:6" ht="19.5" customHeight="1">
      <c r="D5" s="182"/>
      <c r="E5" s="182"/>
      <c r="F5" s="182"/>
    </row>
    <row r="6" spans="1:4" ht="15" customHeight="1">
      <c r="A6" s="191" t="s">
        <v>524</v>
      </c>
      <c r="B6" s="191"/>
      <c r="C6" s="191"/>
      <c r="D6" s="191"/>
    </row>
    <row r="7" ht="4.5" customHeight="1">
      <c r="A7" s="73"/>
    </row>
    <row r="8" ht="12.75">
      <c r="D8" s="37" t="s">
        <v>14</v>
      </c>
    </row>
    <row r="9" spans="1:4" ht="15" customHeight="1">
      <c r="A9" s="187" t="s">
        <v>18</v>
      </c>
      <c r="B9" s="187" t="s">
        <v>4</v>
      </c>
      <c r="C9" s="188" t="s">
        <v>144</v>
      </c>
      <c r="D9" s="188" t="s">
        <v>145</v>
      </c>
    </row>
    <row r="10" spans="1:4" ht="15" customHeight="1">
      <c r="A10" s="187"/>
      <c r="B10" s="187"/>
      <c r="C10" s="187"/>
      <c r="D10" s="188"/>
    </row>
    <row r="11" spans="1:4" ht="15.75" customHeight="1">
      <c r="A11" s="187"/>
      <c r="B11" s="187"/>
      <c r="C11" s="187"/>
      <c r="D11" s="188"/>
    </row>
    <row r="12" spans="1:4" s="75" customFormat="1" ht="6.75" customHeight="1">
      <c r="A12" s="74">
        <v>1</v>
      </c>
      <c r="B12" s="74">
        <v>2</v>
      </c>
      <c r="C12" s="74">
        <v>3</v>
      </c>
      <c r="D12" s="74">
        <v>4</v>
      </c>
    </row>
    <row r="13" spans="1:4" ht="18.75" customHeight="1">
      <c r="A13" s="190" t="s">
        <v>146</v>
      </c>
      <c r="B13" s="190"/>
      <c r="C13" s="76"/>
      <c r="D13" s="142">
        <f>D14+D26</f>
        <v>2696290</v>
      </c>
    </row>
    <row r="14" spans="1:4" ht="18.75" customHeight="1">
      <c r="A14" s="36" t="s">
        <v>6</v>
      </c>
      <c r="B14" s="46" t="s">
        <v>147</v>
      </c>
      <c r="C14" s="36" t="s">
        <v>148</v>
      </c>
      <c r="D14" s="157">
        <v>1138765</v>
      </c>
    </row>
    <row r="15" spans="1:4" ht="18.75" customHeight="1">
      <c r="A15" s="34" t="s">
        <v>7</v>
      </c>
      <c r="B15" s="47" t="s">
        <v>149</v>
      </c>
      <c r="C15" s="34" t="s">
        <v>148</v>
      </c>
      <c r="D15" s="158"/>
    </row>
    <row r="16" spans="1:4" ht="51">
      <c r="A16" s="34" t="s">
        <v>8</v>
      </c>
      <c r="B16" s="77" t="s">
        <v>150</v>
      </c>
      <c r="C16" s="34" t="s">
        <v>151</v>
      </c>
      <c r="D16" s="158"/>
    </row>
    <row r="17" spans="1:4" ht="18.75" customHeight="1">
      <c r="A17" s="34" t="s">
        <v>0</v>
      </c>
      <c r="B17" s="47" t="s">
        <v>152</v>
      </c>
      <c r="C17" s="34" t="s">
        <v>153</v>
      </c>
      <c r="D17" s="158"/>
    </row>
    <row r="18" spans="1:4" ht="18.75" customHeight="1">
      <c r="A18" s="34" t="s">
        <v>154</v>
      </c>
      <c r="B18" s="47" t="s">
        <v>155</v>
      </c>
      <c r="C18" s="34" t="s">
        <v>196</v>
      </c>
      <c r="D18" s="158"/>
    </row>
    <row r="19" spans="1:4" ht="18.75" customHeight="1">
      <c r="A19" s="34" t="s">
        <v>156</v>
      </c>
      <c r="B19" s="47" t="s">
        <v>157</v>
      </c>
      <c r="C19" s="34" t="s">
        <v>158</v>
      </c>
      <c r="D19" s="158"/>
    </row>
    <row r="20" spans="1:4" ht="18.75" customHeight="1">
      <c r="A20" s="34" t="s">
        <v>159</v>
      </c>
      <c r="B20" s="47" t="s">
        <v>160</v>
      </c>
      <c r="C20" s="34" t="s">
        <v>161</v>
      </c>
      <c r="D20" s="158"/>
    </row>
    <row r="21" spans="1:4" ht="44.25" customHeight="1">
      <c r="A21" s="34" t="s">
        <v>162</v>
      </c>
      <c r="B21" s="77" t="s">
        <v>163</v>
      </c>
      <c r="C21" s="34" t="s">
        <v>164</v>
      </c>
      <c r="D21" s="158"/>
    </row>
    <row r="22" spans="1:4" ht="18.75" customHeight="1">
      <c r="A22" s="34" t="s">
        <v>165</v>
      </c>
      <c r="B22" s="47" t="s">
        <v>166</v>
      </c>
      <c r="C22" s="34" t="s">
        <v>167</v>
      </c>
      <c r="D22" s="158"/>
    </row>
    <row r="23" spans="1:4" ht="18.75" customHeight="1">
      <c r="A23" s="34" t="s">
        <v>168</v>
      </c>
      <c r="B23" s="47" t="s">
        <v>169</v>
      </c>
      <c r="C23" s="34" t="s">
        <v>170</v>
      </c>
      <c r="D23" s="158"/>
    </row>
    <row r="24" spans="1:4" ht="18.75" customHeight="1">
      <c r="A24" s="34" t="s">
        <v>171</v>
      </c>
      <c r="B24" s="47" t="s">
        <v>172</v>
      </c>
      <c r="C24" s="34" t="s">
        <v>173</v>
      </c>
      <c r="D24" s="158"/>
    </row>
    <row r="25" spans="1:4" ht="18.75" customHeight="1">
      <c r="A25" s="34" t="s">
        <v>174</v>
      </c>
      <c r="B25" s="47" t="s">
        <v>175</v>
      </c>
      <c r="C25" s="34" t="s">
        <v>176</v>
      </c>
      <c r="D25" s="158"/>
    </row>
    <row r="26" spans="1:4" ht="18.75" customHeight="1">
      <c r="A26" s="34" t="s">
        <v>177</v>
      </c>
      <c r="B26" s="47" t="s">
        <v>178</v>
      </c>
      <c r="C26" s="34" t="s">
        <v>179</v>
      </c>
      <c r="D26" s="158">
        <v>1557525</v>
      </c>
    </row>
    <row r="27" spans="1:4" ht="18.75" customHeight="1">
      <c r="A27" s="35" t="s">
        <v>180</v>
      </c>
      <c r="B27" s="48" t="s">
        <v>181</v>
      </c>
      <c r="C27" s="35" t="s">
        <v>182</v>
      </c>
      <c r="D27" s="159"/>
    </row>
    <row r="28" spans="1:4" ht="18.75" customHeight="1">
      <c r="A28" s="190" t="s">
        <v>183</v>
      </c>
      <c r="B28" s="190"/>
      <c r="C28" s="76"/>
      <c r="D28" s="142">
        <f>D29+D30+D31</f>
        <v>1557525</v>
      </c>
    </row>
    <row r="29" spans="1:4" ht="18.75" customHeight="1">
      <c r="A29" s="36" t="s">
        <v>6</v>
      </c>
      <c r="B29" s="46" t="s">
        <v>184</v>
      </c>
      <c r="C29" s="36" t="s">
        <v>185</v>
      </c>
      <c r="D29" s="157">
        <f>D26-D30-D31</f>
        <v>1272000</v>
      </c>
    </row>
    <row r="30" spans="1:4" ht="18.75" customHeight="1">
      <c r="A30" s="34" t="s">
        <v>7</v>
      </c>
      <c r="B30" s="47" t="s">
        <v>186</v>
      </c>
      <c r="C30" s="34" t="s">
        <v>185</v>
      </c>
      <c r="D30" s="158">
        <f>96045+102480</f>
        <v>198525</v>
      </c>
    </row>
    <row r="31" spans="1:4" ht="38.25">
      <c r="A31" s="34" t="s">
        <v>8</v>
      </c>
      <c r="B31" s="77" t="s">
        <v>187</v>
      </c>
      <c r="C31" s="34" t="s">
        <v>188</v>
      </c>
      <c r="D31" s="158">
        <v>87000</v>
      </c>
    </row>
    <row r="32" spans="1:4" ht="18.75" customHeight="1">
      <c r="A32" s="34" t="s">
        <v>0</v>
      </c>
      <c r="B32" s="47" t="s">
        <v>112</v>
      </c>
      <c r="C32" s="34" t="s">
        <v>189</v>
      </c>
      <c r="D32" s="158"/>
    </row>
    <row r="33" spans="1:4" ht="18.75" customHeight="1">
      <c r="A33" s="34" t="s">
        <v>154</v>
      </c>
      <c r="B33" s="47" t="s">
        <v>190</v>
      </c>
      <c r="C33" s="34" t="s">
        <v>182</v>
      </c>
      <c r="D33" s="158"/>
    </row>
    <row r="34" spans="1:4" ht="18.75" customHeight="1">
      <c r="A34" s="34" t="s">
        <v>168</v>
      </c>
      <c r="B34" s="47" t="s">
        <v>114</v>
      </c>
      <c r="C34" s="34" t="s">
        <v>191</v>
      </c>
      <c r="D34" s="158"/>
    </row>
    <row r="35" spans="1:4" ht="18.75" customHeight="1">
      <c r="A35" s="34" t="s">
        <v>171</v>
      </c>
      <c r="B35" s="47" t="s">
        <v>192</v>
      </c>
      <c r="C35" s="34" t="s">
        <v>193</v>
      </c>
      <c r="D35" s="158"/>
    </row>
    <row r="36" spans="1:4" ht="18.75" customHeight="1">
      <c r="A36" s="35" t="s">
        <v>174</v>
      </c>
      <c r="B36" s="48" t="s">
        <v>194</v>
      </c>
      <c r="C36" s="35" t="s">
        <v>195</v>
      </c>
      <c r="D36" s="159"/>
    </row>
    <row r="37" spans="1:4" ht="7.5" customHeight="1">
      <c r="A37" s="78"/>
      <c r="B37" s="4"/>
      <c r="C37" s="4"/>
      <c r="D37" s="4"/>
    </row>
    <row r="38" spans="1:6" ht="12.75">
      <c r="A38" s="79"/>
      <c r="B38" s="80"/>
      <c r="C38" s="80"/>
      <c r="D38" s="80"/>
      <c r="E38" s="38"/>
      <c r="F38" s="38"/>
    </row>
    <row r="39" spans="1:6" ht="12.75">
      <c r="A39" s="189"/>
      <c r="B39" s="189"/>
      <c r="C39" s="189"/>
      <c r="D39" s="189"/>
      <c r="E39" s="189"/>
      <c r="F39" s="189"/>
    </row>
    <row r="40" spans="1:6" ht="22.5" customHeight="1">
      <c r="A40" s="189"/>
      <c r="B40" s="189"/>
      <c r="C40" s="189"/>
      <c r="D40" s="189"/>
      <c r="E40" s="189"/>
      <c r="F40" s="189"/>
    </row>
  </sheetData>
  <sheetProtection/>
  <mergeCells count="9">
    <mergeCell ref="D1:F5"/>
    <mergeCell ref="A39:F40"/>
    <mergeCell ref="A13:B13"/>
    <mergeCell ref="A28:B28"/>
    <mergeCell ref="A6:D6"/>
    <mergeCell ref="A9:A11"/>
    <mergeCell ref="C9:C11"/>
    <mergeCell ref="B9:B11"/>
    <mergeCell ref="D9:D11"/>
  </mergeCells>
  <printOptions horizontalCentered="1"/>
  <pageMargins left="0.3937007874015748" right="0.3937007874015748" top="0.59" bottom="0.5905511811023623" header="0.5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defaultGridColor="0" zoomScalePageLayoutView="0" colorId="8" workbookViewId="0" topLeftCell="A1">
      <selection activeCell="E13" sqref="E13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74" t="s">
        <v>526</v>
      </c>
      <c r="I1" s="174"/>
      <c r="J1" s="174"/>
    </row>
    <row r="2" spans="8:10" ht="12.75">
      <c r="H2" s="174"/>
      <c r="I2" s="174"/>
      <c r="J2" s="174"/>
    </row>
    <row r="3" spans="8:10" ht="12.75">
      <c r="H3" s="174"/>
      <c r="I3" s="174"/>
      <c r="J3" s="174"/>
    </row>
    <row r="4" spans="8:10" ht="12.75">
      <c r="H4" s="174"/>
      <c r="I4" s="174"/>
      <c r="J4" s="174"/>
    </row>
    <row r="6" spans="1:10" ht="48.75" customHeight="1">
      <c r="A6" s="203" t="s">
        <v>53</v>
      </c>
      <c r="B6" s="203"/>
      <c r="C6" s="203"/>
      <c r="D6" s="203"/>
      <c r="E6" s="203"/>
      <c r="F6" s="203"/>
      <c r="G6" s="203"/>
      <c r="H6" s="203"/>
      <c r="I6" s="203"/>
      <c r="J6" s="203"/>
    </row>
    <row r="7" ht="12.75">
      <c r="J7" s="5" t="s">
        <v>14</v>
      </c>
    </row>
    <row r="8" spans="1:10" s="3" customFormat="1" ht="20.25" customHeight="1">
      <c r="A8" s="187" t="s">
        <v>1</v>
      </c>
      <c r="B8" s="194" t="s">
        <v>2</v>
      </c>
      <c r="C8" s="194" t="s">
        <v>3</v>
      </c>
      <c r="D8" s="188" t="s">
        <v>36</v>
      </c>
      <c r="E8" s="188" t="s">
        <v>35</v>
      </c>
      <c r="F8" s="188" t="s">
        <v>23</v>
      </c>
      <c r="G8" s="188"/>
      <c r="H8" s="188"/>
      <c r="I8" s="188"/>
      <c r="J8" s="188"/>
    </row>
    <row r="9" spans="1:10" s="3" customFormat="1" ht="20.25" customHeight="1">
      <c r="A9" s="187"/>
      <c r="B9" s="195"/>
      <c r="C9" s="195"/>
      <c r="D9" s="187"/>
      <c r="E9" s="188"/>
      <c r="F9" s="188" t="s">
        <v>33</v>
      </c>
      <c r="G9" s="188" t="s">
        <v>5</v>
      </c>
      <c r="H9" s="188"/>
      <c r="I9" s="188"/>
      <c r="J9" s="188" t="s">
        <v>34</v>
      </c>
    </row>
    <row r="10" spans="1:10" s="3" customFormat="1" ht="65.25" customHeight="1">
      <c r="A10" s="187"/>
      <c r="B10" s="196"/>
      <c r="C10" s="196"/>
      <c r="D10" s="187"/>
      <c r="E10" s="188"/>
      <c r="F10" s="188"/>
      <c r="G10" s="8" t="s">
        <v>30</v>
      </c>
      <c r="H10" s="8" t="s">
        <v>31</v>
      </c>
      <c r="I10" s="8" t="s">
        <v>32</v>
      </c>
      <c r="J10" s="188"/>
    </row>
    <row r="11" spans="1:10" ht="9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</row>
    <row r="12" spans="1:10" ht="19.5" customHeight="1">
      <c r="A12" s="11">
        <v>750</v>
      </c>
      <c r="B12" s="11">
        <v>75011</v>
      </c>
      <c r="C12" s="11">
        <v>2010</v>
      </c>
      <c r="D12" s="141">
        <v>119235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</row>
    <row r="13" spans="1:10" ht="19.5" customHeight="1">
      <c r="A13" s="11">
        <v>750</v>
      </c>
      <c r="B13" s="11">
        <v>75011</v>
      </c>
      <c r="C13" s="12">
        <v>4010</v>
      </c>
      <c r="D13" s="139">
        <v>0</v>
      </c>
      <c r="E13" s="139">
        <v>99661</v>
      </c>
      <c r="F13" s="139">
        <f>E13</f>
        <v>99661</v>
      </c>
      <c r="G13" s="139">
        <f>F13</f>
        <v>99661</v>
      </c>
      <c r="H13" s="139">
        <v>0</v>
      </c>
      <c r="I13" s="139">
        <v>0</v>
      </c>
      <c r="J13" s="139">
        <v>0</v>
      </c>
    </row>
    <row r="14" spans="1:10" ht="19.5" customHeight="1">
      <c r="A14" s="11">
        <v>750</v>
      </c>
      <c r="B14" s="11">
        <v>75011</v>
      </c>
      <c r="C14" s="12">
        <v>4110</v>
      </c>
      <c r="D14" s="139">
        <v>0</v>
      </c>
      <c r="E14" s="139">
        <v>17132</v>
      </c>
      <c r="F14" s="139">
        <f>E14</f>
        <v>17132</v>
      </c>
      <c r="G14" s="139">
        <v>0</v>
      </c>
      <c r="H14" s="139">
        <f>F14</f>
        <v>17132</v>
      </c>
      <c r="I14" s="139">
        <v>0</v>
      </c>
      <c r="J14" s="139">
        <v>0</v>
      </c>
    </row>
    <row r="15" spans="1:10" ht="19.5" customHeight="1">
      <c r="A15" s="11">
        <v>750</v>
      </c>
      <c r="B15" s="11">
        <v>75011</v>
      </c>
      <c r="C15" s="12">
        <v>4120</v>
      </c>
      <c r="D15" s="139">
        <v>0</v>
      </c>
      <c r="E15" s="139">
        <v>2442</v>
      </c>
      <c r="F15" s="139">
        <f>E15</f>
        <v>2442</v>
      </c>
      <c r="G15" s="139">
        <v>0</v>
      </c>
      <c r="H15" s="139">
        <f>F15</f>
        <v>2442</v>
      </c>
      <c r="I15" s="139">
        <v>0</v>
      </c>
      <c r="J15" s="139">
        <v>0</v>
      </c>
    </row>
    <row r="16" spans="1:10" s="24" customFormat="1" ht="19.5" customHeight="1">
      <c r="A16" s="197" t="s">
        <v>466</v>
      </c>
      <c r="B16" s="198"/>
      <c r="C16" s="199"/>
      <c r="D16" s="153">
        <f>D15+D14+D13+D12</f>
        <v>119235</v>
      </c>
      <c r="E16" s="153">
        <f aca="true" t="shared" si="0" ref="E16:J16">E15+E14+E13+E12</f>
        <v>119235</v>
      </c>
      <c r="F16" s="153">
        <f t="shared" si="0"/>
        <v>119235</v>
      </c>
      <c r="G16" s="153">
        <f t="shared" si="0"/>
        <v>99661</v>
      </c>
      <c r="H16" s="153">
        <f t="shared" si="0"/>
        <v>19574</v>
      </c>
      <c r="I16" s="153">
        <f t="shared" si="0"/>
        <v>0</v>
      </c>
      <c r="J16" s="153">
        <f t="shared" si="0"/>
        <v>0</v>
      </c>
    </row>
    <row r="17" spans="1:10" ht="19.5" customHeight="1">
      <c r="A17" s="12">
        <v>751</v>
      </c>
      <c r="B17" s="12">
        <v>75101</v>
      </c>
      <c r="C17" s="12">
        <v>2010</v>
      </c>
      <c r="D17" s="139">
        <v>3738</v>
      </c>
      <c r="E17" s="139">
        <v>0</v>
      </c>
      <c r="F17" s="139">
        <v>0</v>
      </c>
      <c r="G17" s="139">
        <v>0</v>
      </c>
      <c r="H17" s="139">
        <v>0</v>
      </c>
      <c r="I17" s="139">
        <v>0</v>
      </c>
      <c r="J17" s="139">
        <v>0</v>
      </c>
    </row>
    <row r="18" spans="1:10" ht="19.5" customHeight="1">
      <c r="A18" s="12">
        <v>751</v>
      </c>
      <c r="B18" s="12">
        <v>75101</v>
      </c>
      <c r="C18" s="12">
        <v>4010</v>
      </c>
      <c r="D18" s="139">
        <v>0</v>
      </c>
      <c r="E18" s="139">
        <v>3124</v>
      </c>
      <c r="F18" s="139">
        <f>E18</f>
        <v>3124</v>
      </c>
      <c r="G18" s="139">
        <f>F18</f>
        <v>3124</v>
      </c>
      <c r="H18" s="139">
        <v>0</v>
      </c>
      <c r="I18" s="139">
        <v>0</v>
      </c>
      <c r="J18" s="139">
        <v>0</v>
      </c>
    </row>
    <row r="19" spans="1:10" ht="19.5" customHeight="1">
      <c r="A19" s="12">
        <v>751</v>
      </c>
      <c r="B19" s="12">
        <v>75101</v>
      </c>
      <c r="C19" s="12">
        <v>4110</v>
      </c>
      <c r="D19" s="139">
        <v>0</v>
      </c>
      <c r="E19" s="139">
        <v>537</v>
      </c>
      <c r="F19" s="139">
        <f>E19</f>
        <v>537</v>
      </c>
      <c r="G19" s="139">
        <v>0</v>
      </c>
      <c r="H19" s="139">
        <f>F19</f>
        <v>537</v>
      </c>
      <c r="I19" s="139">
        <v>0</v>
      </c>
      <c r="J19" s="139">
        <v>0</v>
      </c>
    </row>
    <row r="20" spans="1:10" ht="19.5" customHeight="1">
      <c r="A20" s="12">
        <v>751</v>
      </c>
      <c r="B20" s="12">
        <v>75101</v>
      </c>
      <c r="C20" s="12">
        <v>4120</v>
      </c>
      <c r="D20" s="139">
        <v>0</v>
      </c>
      <c r="E20" s="139">
        <v>77</v>
      </c>
      <c r="F20" s="139">
        <f>E20</f>
        <v>77</v>
      </c>
      <c r="G20" s="139">
        <v>0</v>
      </c>
      <c r="H20" s="139">
        <f>F20</f>
        <v>77</v>
      </c>
      <c r="I20" s="139">
        <v>0</v>
      </c>
      <c r="J20" s="139">
        <v>0</v>
      </c>
    </row>
    <row r="21" spans="1:10" s="24" customFormat="1" ht="19.5" customHeight="1">
      <c r="A21" s="197" t="s">
        <v>494</v>
      </c>
      <c r="B21" s="198"/>
      <c r="C21" s="199"/>
      <c r="D21" s="153">
        <f>D20+D19+D18+D17</f>
        <v>3738</v>
      </c>
      <c r="E21" s="153">
        <f aca="true" t="shared" si="1" ref="E21:J21">E20+E19+E18+E17</f>
        <v>3738</v>
      </c>
      <c r="F21" s="153">
        <f t="shared" si="1"/>
        <v>3738</v>
      </c>
      <c r="G21" s="153">
        <f t="shared" si="1"/>
        <v>3124</v>
      </c>
      <c r="H21" s="153">
        <f t="shared" si="1"/>
        <v>614</v>
      </c>
      <c r="I21" s="153">
        <f t="shared" si="1"/>
        <v>0</v>
      </c>
      <c r="J21" s="153">
        <f t="shared" si="1"/>
        <v>0</v>
      </c>
    </row>
    <row r="22" spans="1:10" ht="19.5" customHeight="1">
      <c r="A22" s="12">
        <v>852</v>
      </c>
      <c r="B22" s="12">
        <v>85212</v>
      </c>
      <c r="C22" s="12">
        <v>2010</v>
      </c>
      <c r="D22" s="139">
        <v>7047970</v>
      </c>
      <c r="E22" s="139"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</row>
    <row r="23" spans="1:10" ht="19.5" customHeight="1">
      <c r="A23" s="12">
        <v>852</v>
      </c>
      <c r="B23" s="12">
        <v>85212</v>
      </c>
      <c r="C23" s="12">
        <v>3110</v>
      </c>
      <c r="D23" s="139">
        <v>0</v>
      </c>
      <c r="E23" s="139">
        <v>6796657</v>
      </c>
      <c r="F23" s="139">
        <f>E23</f>
        <v>6796657</v>
      </c>
      <c r="G23" s="139">
        <v>0</v>
      </c>
      <c r="H23" s="139">
        <v>0</v>
      </c>
      <c r="I23" s="139">
        <v>0</v>
      </c>
      <c r="J23" s="139">
        <v>0</v>
      </c>
    </row>
    <row r="24" spans="1:10" ht="19.5" customHeight="1">
      <c r="A24" s="12">
        <v>852</v>
      </c>
      <c r="B24" s="12">
        <v>85212</v>
      </c>
      <c r="C24" s="12">
        <v>4010</v>
      </c>
      <c r="D24" s="139">
        <v>0</v>
      </c>
      <c r="E24" s="139">
        <v>119908</v>
      </c>
      <c r="F24" s="139">
        <f aca="true" t="shared" si="2" ref="F24:F35">E24</f>
        <v>119908</v>
      </c>
      <c r="G24" s="139">
        <f>E24</f>
        <v>119908</v>
      </c>
      <c r="H24" s="139">
        <v>0</v>
      </c>
      <c r="I24" s="139">
        <v>0</v>
      </c>
      <c r="J24" s="139">
        <v>0</v>
      </c>
    </row>
    <row r="25" spans="1:10" ht="19.5" customHeight="1">
      <c r="A25" s="12">
        <v>852</v>
      </c>
      <c r="B25" s="12">
        <v>85212</v>
      </c>
      <c r="C25" s="12">
        <v>4040</v>
      </c>
      <c r="D25" s="139">
        <v>0</v>
      </c>
      <c r="E25" s="139">
        <v>7645</v>
      </c>
      <c r="F25" s="139">
        <f t="shared" si="2"/>
        <v>7645</v>
      </c>
      <c r="G25" s="139">
        <f>E25</f>
        <v>7645</v>
      </c>
      <c r="H25" s="139">
        <v>0</v>
      </c>
      <c r="I25" s="139">
        <v>0</v>
      </c>
      <c r="J25" s="139">
        <v>0</v>
      </c>
    </row>
    <row r="26" spans="1:10" ht="19.5" customHeight="1">
      <c r="A26" s="12">
        <v>852</v>
      </c>
      <c r="B26" s="12">
        <v>85212</v>
      </c>
      <c r="C26" s="12">
        <v>4110</v>
      </c>
      <c r="D26" s="139">
        <v>0</v>
      </c>
      <c r="E26" s="139">
        <v>65727</v>
      </c>
      <c r="F26" s="139">
        <f t="shared" si="2"/>
        <v>65727</v>
      </c>
      <c r="G26" s="139">
        <v>0</v>
      </c>
      <c r="H26" s="139">
        <f>E26</f>
        <v>65727</v>
      </c>
      <c r="I26" s="139">
        <v>0</v>
      </c>
      <c r="J26" s="139">
        <v>0</v>
      </c>
    </row>
    <row r="27" spans="1:10" ht="19.5" customHeight="1">
      <c r="A27" s="12">
        <v>852</v>
      </c>
      <c r="B27" s="12">
        <v>85212</v>
      </c>
      <c r="C27" s="12">
        <v>4120</v>
      </c>
      <c r="D27" s="139">
        <v>0</v>
      </c>
      <c r="E27" s="139">
        <v>3126</v>
      </c>
      <c r="F27" s="139">
        <f t="shared" si="2"/>
        <v>3126</v>
      </c>
      <c r="G27" s="139">
        <v>0</v>
      </c>
      <c r="H27" s="139">
        <f>E27</f>
        <v>3126</v>
      </c>
      <c r="I27" s="139">
        <v>0</v>
      </c>
      <c r="J27" s="139">
        <v>0</v>
      </c>
    </row>
    <row r="28" spans="1:10" ht="19.5" customHeight="1">
      <c r="A28" s="12">
        <v>852</v>
      </c>
      <c r="B28" s="12">
        <v>85212</v>
      </c>
      <c r="C28" s="12">
        <v>4170</v>
      </c>
      <c r="D28" s="139">
        <v>0</v>
      </c>
      <c r="E28" s="139">
        <v>2400</v>
      </c>
      <c r="F28" s="139">
        <f t="shared" si="2"/>
        <v>2400</v>
      </c>
      <c r="G28" s="139">
        <f>E28</f>
        <v>2400</v>
      </c>
      <c r="H28" s="139">
        <v>0</v>
      </c>
      <c r="I28" s="139">
        <v>0</v>
      </c>
      <c r="J28" s="139">
        <v>0</v>
      </c>
    </row>
    <row r="29" spans="1:10" ht="19.5" customHeight="1">
      <c r="A29" s="12">
        <v>852</v>
      </c>
      <c r="B29" s="12">
        <v>85212</v>
      </c>
      <c r="C29" s="12">
        <v>4210</v>
      </c>
      <c r="D29" s="139">
        <v>0</v>
      </c>
      <c r="E29" s="139">
        <v>14057</v>
      </c>
      <c r="F29" s="139">
        <f t="shared" si="2"/>
        <v>14057</v>
      </c>
      <c r="G29" s="139">
        <v>0</v>
      </c>
      <c r="H29" s="139">
        <v>0</v>
      </c>
      <c r="I29" s="139">
        <v>0</v>
      </c>
      <c r="J29" s="139">
        <v>0</v>
      </c>
    </row>
    <row r="30" spans="1:10" ht="19.5" customHeight="1">
      <c r="A30" s="12">
        <v>852</v>
      </c>
      <c r="B30" s="12">
        <v>85212</v>
      </c>
      <c r="C30" s="12">
        <v>4300</v>
      </c>
      <c r="D30" s="139">
        <v>0</v>
      </c>
      <c r="E30" s="139">
        <v>26000</v>
      </c>
      <c r="F30" s="139">
        <f t="shared" si="2"/>
        <v>26000</v>
      </c>
      <c r="G30" s="139">
        <v>0</v>
      </c>
      <c r="H30" s="139">
        <v>0</v>
      </c>
      <c r="I30" s="139">
        <v>0</v>
      </c>
      <c r="J30" s="139">
        <v>0</v>
      </c>
    </row>
    <row r="31" spans="1:10" ht="19.5" customHeight="1">
      <c r="A31" s="12">
        <v>852</v>
      </c>
      <c r="B31" s="12">
        <v>85212</v>
      </c>
      <c r="C31" s="12">
        <v>4370</v>
      </c>
      <c r="D31" s="139">
        <v>0</v>
      </c>
      <c r="E31" s="139">
        <v>7700</v>
      </c>
      <c r="F31" s="139">
        <f t="shared" si="2"/>
        <v>7700</v>
      </c>
      <c r="G31" s="139">
        <v>0</v>
      </c>
      <c r="H31" s="139">
        <v>0</v>
      </c>
      <c r="I31" s="139">
        <v>0</v>
      </c>
      <c r="J31" s="139">
        <v>0</v>
      </c>
    </row>
    <row r="32" spans="1:10" ht="19.5" customHeight="1">
      <c r="A32" s="12">
        <v>852</v>
      </c>
      <c r="B32" s="12">
        <v>85212</v>
      </c>
      <c r="C32" s="12">
        <v>4440</v>
      </c>
      <c r="D32" s="139">
        <v>0</v>
      </c>
      <c r="E32" s="139">
        <v>2550</v>
      </c>
      <c r="F32" s="139">
        <f t="shared" si="2"/>
        <v>2550</v>
      </c>
      <c r="G32" s="139">
        <v>0</v>
      </c>
      <c r="H32" s="139">
        <v>0</v>
      </c>
      <c r="I32" s="139">
        <v>0</v>
      </c>
      <c r="J32" s="139">
        <v>0</v>
      </c>
    </row>
    <row r="33" spans="1:10" ht="19.5" customHeight="1">
      <c r="A33" s="12">
        <v>852</v>
      </c>
      <c r="B33" s="12">
        <v>85212</v>
      </c>
      <c r="C33" s="12">
        <v>4740</v>
      </c>
      <c r="D33" s="139">
        <v>0</v>
      </c>
      <c r="E33" s="139">
        <v>1200</v>
      </c>
      <c r="F33" s="139">
        <f t="shared" si="2"/>
        <v>1200</v>
      </c>
      <c r="G33" s="139">
        <v>0</v>
      </c>
      <c r="H33" s="139">
        <v>0</v>
      </c>
      <c r="I33" s="139">
        <v>0</v>
      </c>
      <c r="J33" s="139">
        <v>0</v>
      </c>
    </row>
    <row r="34" spans="1:10" ht="19.5" customHeight="1">
      <c r="A34" s="12">
        <v>852</v>
      </c>
      <c r="B34" s="12">
        <v>85212</v>
      </c>
      <c r="C34" s="12">
        <v>4750</v>
      </c>
      <c r="D34" s="139">
        <v>0</v>
      </c>
      <c r="E34" s="139">
        <v>1000</v>
      </c>
      <c r="F34" s="139">
        <f t="shared" si="2"/>
        <v>1000</v>
      </c>
      <c r="G34" s="139">
        <v>0</v>
      </c>
      <c r="H34" s="139">
        <v>0</v>
      </c>
      <c r="I34" s="139">
        <v>0</v>
      </c>
      <c r="J34" s="139">
        <v>0</v>
      </c>
    </row>
    <row r="35" spans="1:10" ht="19.5" customHeight="1">
      <c r="A35" s="12">
        <v>852</v>
      </c>
      <c r="B35" s="12">
        <v>85213</v>
      </c>
      <c r="C35" s="12">
        <v>2010</v>
      </c>
      <c r="D35" s="139">
        <v>43274</v>
      </c>
      <c r="E35" s="139">
        <v>0</v>
      </c>
      <c r="F35" s="139">
        <f t="shared" si="2"/>
        <v>0</v>
      </c>
      <c r="G35" s="139">
        <v>0</v>
      </c>
      <c r="H35" s="139">
        <v>0</v>
      </c>
      <c r="I35" s="139">
        <v>0</v>
      </c>
      <c r="J35" s="139">
        <v>0</v>
      </c>
    </row>
    <row r="36" spans="1:10" ht="19.5" customHeight="1">
      <c r="A36" s="12">
        <v>852</v>
      </c>
      <c r="B36" s="12">
        <v>85213</v>
      </c>
      <c r="C36" s="12">
        <v>4130</v>
      </c>
      <c r="D36" s="139">
        <v>0</v>
      </c>
      <c r="E36" s="139">
        <v>43274</v>
      </c>
      <c r="F36" s="139">
        <f>E36</f>
        <v>43274</v>
      </c>
      <c r="G36" s="139">
        <v>0</v>
      </c>
      <c r="H36" s="139">
        <f>E36</f>
        <v>43274</v>
      </c>
      <c r="I36" s="139">
        <v>0</v>
      </c>
      <c r="J36" s="139">
        <v>0</v>
      </c>
    </row>
    <row r="37" spans="1:10" ht="19.5" customHeight="1">
      <c r="A37" s="12">
        <v>852</v>
      </c>
      <c r="B37" s="12">
        <v>85214</v>
      </c>
      <c r="C37" s="12">
        <v>2010</v>
      </c>
      <c r="D37" s="139">
        <v>314885</v>
      </c>
      <c r="E37" s="139">
        <v>0</v>
      </c>
      <c r="F37" s="139">
        <f>E37</f>
        <v>0</v>
      </c>
      <c r="G37" s="139">
        <f>G38</f>
        <v>0</v>
      </c>
      <c r="H37" s="139">
        <f>H38</f>
        <v>0</v>
      </c>
      <c r="I37" s="139">
        <v>0</v>
      </c>
      <c r="J37" s="139">
        <v>0</v>
      </c>
    </row>
    <row r="38" spans="1:10" ht="19.5" customHeight="1">
      <c r="A38" s="12">
        <v>852</v>
      </c>
      <c r="B38" s="12">
        <v>85214</v>
      </c>
      <c r="C38" s="12">
        <v>3110</v>
      </c>
      <c r="D38" s="139">
        <v>0</v>
      </c>
      <c r="E38" s="139">
        <v>314885</v>
      </c>
      <c r="F38" s="139">
        <f>E38</f>
        <v>314885</v>
      </c>
      <c r="G38" s="139">
        <v>0</v>
      </c>
      <c r="H38" s="139">
        <v>0</v>
      </c>
      <c r="I38" s="139">
        <v>0</v>
      </c>
      <c r="J38" s="139">
        <v>0</v>
      </c>
    </row>
    <row r="39" spans="1:10" ht="19.5" customHeight="1">
      <c r="A39" s="12">
        <v>852</v>
      </c>
      <c r="B39" s="12">
        <v>85228</v>
      </c>
      <c r="C39" s="12">
        <v>2010</v>
      </c>
      <c r="D39" s="139">
        <v>48234</v>
      </c>
      <c r="E39" s="139">
        <v>0</v>
      </c>
      <c r="F39" s="139">
        <f>E39</f>
        <v>0</v>
      </c>
      <c r="G39" s="139">
        <v>0</v>
      </c>
      <c r="H39" s="139">
        <v>0</v>
      </c>
      <c r="I39" s="139">
        <v>0</v>
      </c>
      <c r="J39" s="139">
        <v>0</v>
      </c>
    </row>
    <row r="40" spans="1:10" ht="19.5" customHeight="1">
      <c r="A40" s="12">
        <v>852</v>
      </c>
      <c r="B40" s="12">
        <v>85228</v>
      </c>
      <c r="C40" s="12">
        <v>3020</v>
      </c>
      <c r="D40" s="139">
        <v>0</v>
      </c>
      <c r="E40" s="139">
        <v>365</v>
      </c>
      <c r="F40" s="139">
        <f>E40</f>
        <v>365</v>
      </c>
      <c r="G40" s="139">
        <v>0</v>
      </c>
      <c r="H40" s="139">
        <v>0</v>
      </c>
      <c r="I40" s="139">
        <v>0</v>
      </c>
      <c r="J40" s="139">
        <v>0</v>
      </c>
    </row>
    <row r="41" spans="1:10" ht="19.5" customHeight="1">
      <c r="A41" s="12">
        <v>852</v>
      </c>
      <c r="B41" s="12">
        <v>85228</v>
      </c>
      <c r="C41" s="12">
        <v>4010</v>
      </c>
      <c r="D41" s="139">
        <v>0</v>
      </c>
      <c r="E41" s="139">
        <v>34608</v>
      </c>
      <c r="F41" s="139">
        <f aca="true" t="shared" si="3" ref="F41:F46">E41</f>
        <v>34608</v>
      </c>
      <c r="G41" s="139">
        <f>F41</f>
        <v>34608</v>
      </c>
      <c r="H41" s="139">
        <v>0</v>
      </c>
      <c r="I41" s="139">
        <v>0</v>
      </c>
      <c r="J41" s="139">
        <v>0</v>
      </c>
    </row>
    <row r="42" spans="1:10" ht="19.5" customHeight="1">
      <c r="A42" s="12">
        <v>852</v>
      </c>
      <c r="B42" s="12">
        <v>85228</v>
      </c>
      <c r="C42" s="12">
        <v>4040</v>
      </c>
      <c r="D42" s="139">
        <v>0</v>
      </c>
      <c r="E42" s="139">
        <v>1225</v>
      </c>
      <c r="F42" s="139">
        <f t="shared" si="3"/>
        <v>1225</v>
      </c>
      <c r="G42" s="139">
        <f>F42</f>
        <v>1225</v>
      </c>
      <c r="H42" s="139">
        <v>0</v>
      </c>
      <c r="I42" s="139">
        <v>0</v>
      </c>
      <c r="J42" s="139">
        <v>0</v>
      </c>
    </row>
    <row r="43" spans="1:10" ht="19.5" customHeight="1">
      <c r="A43" s="12">
        <v>852</v>
      </c>
      <c r="B43" s="12">
        <v>85228</v>
      </c>
      <c r="C43" s="12">
        <v>4110</v>
      </c>
      <c r="D43" s="139">
        <v>0</v>
      </c>
      <c r="E43" s="139">
        <v>6058</v>
      </c>
      <c r="F43" s="139">
        <f t="shared" si="3"/>
        <v>6058</v>
      </c>
      <c r="G43" s="139">
        <v>0</v>
      </c>
      <c r="H43" s="139">
        <f>F43</f>
        <v>6058</v>
      </c>
      <c r="I43" s="139">
        <v>0</v>
      </c>
      <c r="J43" s="139">
        <v>0</v>
      </c>
    </row>
    <row r="44" spans="1:10" ht="19.5" customHeight="1">
      <c r="A44" s="12">
        <v>852</v>
      </c>
      <c r="B44" s="12">
        <v>85228</v>
      </c>
      <c r="C44" s="12">
        <v>4120</v>
      </c>
      <c r="D44" s="139">
        <v>0</v>
      </c>
      <c r="E44" s="139">
        <v>878</v>
      </c>
      <c r="F44" s="139">
        <f t="shared" si="3"/>
        <v>878</v>
      </c>
      <c r="G44" s="139">
        <v>0</v>
      </c>
      <c r="H44" s="139">
        <f>F44</f>
        <v>878</v>
      </c>
      <c r="I44" s="139">
        <v>0</v>
      </c>
      <c r="J44" s="139">
        <v>0</v>
      </c>
    </row>
    <row r="45" spans="1:10" ht="19.5" customHeight="1">
      <c r="A45" s="12">
        <v>852</v>
      </c>
      <c r="B45" s="12">
        <v>85228</v>
      </c>
      <c r="C45" s="12">
        <v>4170</v>
      </c>
      <c r="D45" s="139">
        <v>0</v>
      </c>
      <c r="E45" s="139">
        <v>3400</v>
      </c>
      <c r="F45" s="139">
        <f t="shared" si="3"/>
        <v>3400</v>
      </c>
      <c r="G45" s="139">
        <f>F45</f>
        <v>3400</v>
      </c>
      <c r="H45" s="139">
        <v>0</v>
      </c>
      <c r="I45" s="139">
        <v>0</v>
      </c>
      <c r="J45" s="139">
        <v>0</v>
      </c>
    </row>
    <row r="46" spans="1:10" ht="19.5" customHeight="1">
      <c r="A46" s="12">
        <v>852</v>
      </c>
      <c r="B46" s="12">
        <v>85228</v>
      </c>
      <c r="C46" s="12">
        <v>4440</v>
      </c>
      <c r="D46" s="139">
        <v>0</v>
      </c>
      <c r="E46" s="139">
        <v>1700</v>
      </c>
      <c r="F46" s="139">
        <f t="shared" si="3"/>
        <v>1700</v>
      </c>
      <c r="G46" s="139">
        <v>0</v>
      </c>
      <c r="H46" s="139">
        <v>0</v>
      </c>
      <c r="I46" s="139">
        <v>0</v>
      </c>
      <c r="J46" s="139">
        <v>0</v>
      </c>
    </row>
    <row r="47" spans="1:10" s="24" customFormat="1" ht="19.5" customHeight="1">
      <c r="A47" s="200" t="s">
        <v>495</v>
      </c>
      <c r="B47" s="201"/>
      <c r="C47" s="202"/>
      <c r="D47" s="153">
        <f>D46+D45+D44+D43+D42+D41+D40+D39+D38+D37+D36+D35+D34+D33+D32+D31+D30+D29+D28+D27+D26+D25+D24+D23+D22</f>
        <v>7454363</v>
      </c>
      <c r="E47" s="153">
        <f aca="true" t="shared" si="4" ref="E47:J47">E46+E45+E44+E43+E42+E41+E40+E39+E38+E37+E36+E35+E34+E33+E32+E31+E30+E29+E28+E27+E26+E25+E24+E23+E22</f>
        <v>7454363</v>
      </c>
      <c r="F47" s="153">
        <f t="shared" si="4"/>
        <v>7454363</v>
      </c>
      <c r="G47" s="153">
        <f t="shared" si="4"/>
        <v>169186</v>
      </c>
      <c r="H47" s="153">
        <f t="shared" si="4"/>
        <v>119063</v>
      </c>
      <c r="I47" s="153">
        <f t="shared" si="4"/>
        <v>0</v>
      </c>
      <c r="J47" s="153">
        <f t="shared" si="4"/>
        <v>0</v>
      </c>
    </row>
    <row r="48" spans="1:10" ht="19.5" customHeight="1">
      <c r="A48" s="192" t="s">
        <v>40</v>
      </c>
      <c r="B48" s="193"/>
      <c r="C48" s="193"/>
      <c r="D48" s="154">
        <f>D47+D21+D16</f>
        <v>7577336</v>
      </c>
      <c r="E48" s="154">
        <f aca="true" t="shared" si="5" ref="E48:J48">E47+E21+E16</f>
        <v>7577336</v>
      </c>
      <c r="F48" s="154">
        <f t="shared" si="5"/>
        <v>7577336</v>
      </c>
      <c r="G48" s="154">
        <f t="shared" si="5"/>
        <v>271971</v>
      </c>
      <c r="H48" s="154">
        <f t="shared" si="5"/>
        <v>139251</v>
      </c>
      <c r="I48" s="154">
        <f t="shared" si="5"/>
        <v>0</v>
      </c>
      <c r="J48" s="154">
        <f t="shared" si="5"/>
        <v>0</v>
      </c>
    </row>
  </sheetData>
  <sheetProtection/>
  <mergeCells count="15">
    <mergeCell ref="H1:J4"/>
    <mergeCell ref="A16:C16"/>
    <mergeCell ref="A21:C21"/>
    <mergeCell ref="A47:C47"/>
    <mergeCell ref="A6:J6"/>
    <mergeCell ref="A48:C48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C1">
      <selection activeCell="J29" sqref="J2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74" t="s">
        <v>527</v>
      </c>
      <c r="H1" s="174"/>
      <c r="I1" s="174"/>
    </row>
    <row r="2" spans="7:9" ht="12.75" customHeight="1">
      <c r="G2" s="174"/>
      <c r="H2" s="174"/>
      <c r="I2" s="174"/>
    </row>
    <row r="3" spans="7:9" ht="12.75">
      <c r="G3" s="174"/>
      <c r="H3" s="174"/>
      <c r="I3" s="174"/>
    </row>
    <row r="4" spans="7:9" ht="12.75">
      <c r="G4" s="174"/>
      <c r="H4" s="174"/>
      <c r="I4" s="174"/>
    </row>
    <row r="5" spans="7:9" ht="12.75">
      <c r="G5" s="174"/>
      <c r="H5" s="174"/>
      <c r="I5" s="174"/>
    </row>
    <row r="7" spans="1:9" ht="16.5">
      <c r="A7" s="205" t="s">
        <v>528</v>
      </c>
      <c r="B7" s="205"/>
      <c r="C7" s="205"/>
      <c r="D7" s="205"/>
      <c r="E7" s="205"/>
      <c r="F7" s="205"/>
      <c r="G7" s="205"/>
      <c r="H7" s="205"/>
      <c r="I7" s="205"/>
    </row>
    <row r="8" spans="1:9" ht="16.5">
      <c r="A8" s="205" t="s">
        <v>68</v>
      </c>
      <c r="B8" s="205"/>
      <c r="C8" s="205"/>
      <c r="D8" s="205"/>
      <c r="E8" s="205"/>
      <c r="F8" s="205"/>
      <c r="G8" s="205"/>
      <c r="H8" s="205"/>
      <c r="I8" s="205"/>
    </row>
    <row r="9" spans="1:9" ht="13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12.75">
      <c r="A10" s="1"/>
      <c r="B10" s="1"/>
      <c r="C10" s="1"/>
      <c r="D10" s="1"/>
      <c r="E10" s="1"/>
      <c r="F10" s="1"/>
      <c r="G10" s="1"/>
      <c r="H10" s="1"/>
      <c r="I10" s="5" t="s">
        <v>14</v>
      </c>
    </row>
    <row r="11" spans="1:9" ht="15" customHeight="1">
      <c r="A11" s="187" t="s">
        <v>18</v>
      </c>
      <c r="B11" s="187" t="s">
        <v>56</v>
      </c>
      <c r="C11" s="188" t="s">
        <v>1</v>
      </c>
      <c r="D11" s="188" t="s">
        <v>58</v>
      </c>
      <c r="E11" s="188" t="s">
        <v>69</v>
      </c>
      <c r="F11" s="188"/>
      <c r="G11" s="188" t="s">
        <v>62</v>
      </c>
      <c r="H11" s="188"/>
      <c r="I11" s="188" t="s">
        <v>64</v>
      </c>
    </row>
    <row r="12" spans="1:9" ht="15" customHeight="1">
      <c r="A12" s="187"/>
      <c r="B12" s="187"/>
      <c r="C12" s="188"/>
      <c r="D12" s="188"/>
      <c r="E12" s="188" t="s">
        <v>70</v>
      </c>
      <c r="F12" s="188" t="s">
        <v>71</v>
      </c>
      <c r="G12" s="188" t="s">
        <v>70</v>
      </c>
      <c r="H12" s="188" t="s">
        <v>72</v>
      </c>
      <c r="I12" s="188"/>
    </row>
    <row r="13" spans="1:9" ht="15" customHeight="1">
      <c r="A13" s="187"/>
      <c r="B13" s="187"/>
      <c r="C13" s="188"/>
      <c r="D13" s="188"/>
      <c r="E13" s="188"/>
      <c r="F13" s="188"/>
      <c r="G13" s="188"/>
      <c r="H13" s="188"/>
      <c r="I13" s="188"/>
    </row>
    <row r="14" spans="1:9" ht="15" customHeight="1">
      <c r="A14" s="187"/>
      <c r="B14" s="187"/>
      <c r="C14" s="188"/>
      <c r="D14" s="188"/>
      <c r="E14" s="188"/>
      <c r="F14" s="188"/>
      <c r="G14" s="188"/>
      <c r="H14" s="188"/>
      <c r="I14" s="188"/>
    </row>
    <row r="15" spans="1:9" ht="7.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</row>
    <row r="16" spans="1:9" ht="21.75" customHeight="1">
      <c r="A16" s="15" t="s">
        <v>57</v>
      </c>
      <c r="B16" s="11" t="s">
        <v>73</v>
      </c>
      <c r="C16" s="11"/>
      <c r="D16" s="141">
        <f aca="true" t="shared" si="0" ref="D16:I16">D18+D19</f>
        <v>53367</v>
      </c>
      <c r="E16" s="141">
        <f t="shared" si="0"/>
        <v>3834360</v>
      </c>
      <c r="F16" s="141">
        <f t="shared" si="0"/>
        <v>2440000</v>
      </c>
      <c r="G16" s="141">
        <f t="shared" si="0"/>
        <v>3827062</v>
      </c>
      <c r="H16" s="141">
        <f t="shared" si="0"/>
        <v>0</v>
      </c>
      <c r="I16" s="141">
        <f t="shared" si="0"/>
        <v>60665</v>
      </c>
    </row>
    <row r="17" spans="1:9" ht="21.75" customHeight="1">
      <c r="A17" s="16"/>
      <c r="B17" s="40" t="s">
        <v>5</v>
      </c>
      <c r="C17" s="40"/>
      <c r="D17" s="139"/>
      <c r="E17" s="139"/>
      <c r="F17" s="139"/>
      <c r="G17" s="139"/>
      <c r="H17" s="139"/>
      <c r="I17" s="139"/>
    </row>
    <row r="18" spans="1:9" ht="21.75" customHeight="1">
      <c r="A18" s="16"/>
      <c r="B18" s="41" t="s">
        <v>474</v>
      </c>
      <c r="C18" s="41">
        <v>801</v>
      </c>
      <c r="D18" s="139">
        <v>5907</v>
      </c>
      <c r="E18" s="139">
        <v>2311560</v>
      </c>
      <c r="F18" s="139">
        <v>1800000</v>
      </c>
      <c r="G18" s="139">
        <v>2311849</v>
      </c>
      <c r="H18" s="139">
        <v>0</v>
      </c>
      <c r="I18" s="139">
        <f>D18+E18-G18</f>
        <v>5618</v>
      </c>
    </row>
    <row r="19" spans="1:9" ht="21.75" customHeight="1">
      <c r="A19" s="16"/>
      <c r="B19" s="41" t="s">
        <v>475</v>
      </c>
      <c r="C19" s="41">
        <v>926</v>
      </c>
      <c r="D19" s="139">
        <v>47460</v>
      </c>
      <c r="E19" s="139">
        <v>1522800</v>
      </c>
      <c r="F19" s="139">
        <v>640000</v>
      </c>
      <c r="G19" s="139">
        <v>1515213</v>
      </c>
      <c r="H19" s="139">
        <v>0</v>
      </c>
      <c r="I19" s="139">
        <f>D19+E19-G19</f>
        <v>55047</v>
      </c>
    </row>
    <row r="20" spans="1:9" ht="21.75" customHeight="1">
      <c r="A20" s="15" t="s">
        <v>59</v>
      </c>
      <c r="B20" s="11" t="s">
        <v>74</v>
      </c>
      <c r="C20" s="11"/>
      <c r="D20" s="141"/>
      <c r="E20" s="141"/>
      <c r="F20" s="141"/>
      <c r="G20" s="141"/>
      <c r="H20" s="141"/>
      <c r="I20" s="141"/>
    </row>
    <row r="21" spans="1:9" ht="21.75" customHeight="1">
      <c r="A21" s="16"/>
      <c r="B21" s="40" t="s">
        <v>5</v>
      </c>
      <c r="C21" s="40"/>
      <c r="D21" s="139"/>
      <c r="E21" s="139"/>
      <c r="F21" s="139"/>
      <c r="G21" s="139"/>
      <c r="H21" s="139"/>
      <c r="I21" s="139"/>
    </row>
    <row r="22" spans="1:9" ht="21.75" customHeight="1">
      <c r="A22" s="16"/>
      <c r="B22" s="41" t="s">
        <v>6</v>
      </c>
      <c r="C22" s="41"/>
      <c r="D22" s="139"/>
      <c r="E22" s="139"/>
      <c r="F22" s="139"/>
      <c r="G22" s="139"/>
      <c r="H22" s="139"/>
      <c r="I22" s="139"/>
    </row>
    <row r="23" spans="1:9" ht="21.75" customHeight="1">
      <c r="A23" s="15" t="s">
        <v>61</v>
      </c>
      <c r="B23" s="11" t="s">
        <v>75</v>
      </c>
      <c r="C23" s="11"/>
      <c r="D23" s="141">
        <f>D25+D26+D27+D28</f>
        <v>95954</v>
      </c>
      <c r="E23" s="141">
        <f>E25+E26+E27+E28</f>
        <v>512370</v>
      </c>
      <c r="F23" s="141" t="s">
        <v>15</v>
      </c>
      <c r="G23" s="141">
        <f>G25+G26+G27+G28</f>
        <v>516548</v>
      </c>
      <c r="H23" s="141">
        <f>H25+H26+H27+H28</f>
        <v>0</v>
      </c>
      <c r="I23" s="141">
        <f>I25+I26+I27+I28</f>
        <v>91776</v>
      </c>
    </row>
    <row r="24" spans="1:9" ht="21.75" customHeight="1">
      <c r="A24" s="12"/>
      <c r="B24" s="40" t="s">
        <v>5</v>
      </c>
      <c r="C24" s="40"/>
      <c r="D24" s="139"/>
      <c r="E24" s="139"/>
      <c r="F24" s="139"/>
      <c r="G24" s="139"/>
      <c r="H24" s="139"/>
      <c r="I24" s="139"/>
    </row>
    <row r="25" spans="1:9" ht="21.75" customHeight="1">
      <c r="A25" s="12"/>
      <c r="B25" s="41" t="s">
        <v>470</v>
      </c>
      <c r="C25" s="41">
        <v>801</v>
      </c>
      <c r="D25" s="139">
        <v>25011</v>
      </c>
      <c r="E25" s="139">
        <v>110766</v>
      </c>
      <c r="F25" s="139" t="s">
        <v>15</v>
      </c>
      <c r="G25" s="139">
        <v>110766</v>
      </c>
      <c r="H25" s="139">
        <v>0</v>
      </c>
      <c r="I25" s="139">
        <v>25011</v>
      </c>
    </row>
    <row r="26" spans="1:9" ht="21.75" customHeight="1">
      <c r="A26" s="12"/>
      <c r="B26" s="41" t="s">
        <v>471</v>
      </c>
      <c r="C26" s="41">
        <v>801</v>
      </c>
      <c r="D26" s="139">
        <v>1165</v>
      </c>
      <c r="E26" s="139">
        <v>6000</v>
      </c>
      <c r="F26" s="139" t="s">
        <v>15</v>
      </c>
      <c r="G26" s="139">
        <v>6000</v>
      </c>
      <c r="H26" s="139">
        <v>0</v>
      </c>
      <c r="I26" s="139">
        <v>1165</v>
      </c>
    </row>
    <row r="27" spans="1:9" ht="21.75" customHeight="1">
      <c r="A27" s="12"/>
      <c r="B27" s="41" t="s">
        <v>472</v>
      </c>
      <c r="C27" s="41">
        <v>801</v>
      </c>
      <c r="D27" s="139">
        <v>7178</v>
      </c>
      <c r="E27" s="139">
        <v>20000</v>
      </c>
      <c r="F27" s="139" t="s">
        <v>15</v>
      </c>
      <c r="G27" s="139">
        <v>24178</v>
      </c>
      <c r="H27" s="139">
        <v>0</v>
      </c>
      <c r="I27" s="139">
        <f>D27+E27-G27</f>
        <v>3000</v>
      </c>
    </row>
    <row r="28" spans="1:9" ht="21.75" customHeight="1">
      <c r="A28" s="13"/>
      <c r="B28" s="42" t="s">
        <v>473</v>
      </c>
      <c r="C28" s="42">
        <v>854</v>
      </c>
      <c r="D28" s="140">
        <v>62600</v>
      </c>
      <c r="E28" s="140">
        <v>375604</v>
      </c>
      <c r="F28" s="140" t="s">
        <v>15</v>
      </c>
      <c r="G28" s="140">
        <v>375604</v>
      </c>
      <c r="H28" s="140">
        <v>0</v>
      </c>
      <c r="I28" s="140">
        <f>D28+E28-G28</f>
        <v>62600</v>
      </c>
    </row>
    <row r="29" spans="1:10" s="24" customFormat="1" ht="21.75" customHeight="1">
      <c r="A29" s="204" t="s">
        <v>40</v>
      </c>
      <c r="B29" s="204"/>
      <c r="C29" s="25"/>
      <c r="D29" s="142">
        <f>D23+D16</f>
        <v>149321</v>
      </c>
      <c r="E29" s="142">
        <f>E23+E16</f>
        <v>4346730</v>
      </c>
      <c r="F29" s="142" t="s">
        <v>15</v>
      </c>
      <c r="G29" s="142">
        <f>G23+G16</f>
        <v>4343610</v>
      </c>
      <c r="H29" s="142">
        <f>H23+H16</f>
        <v>0</v>
      </c>
      <c r="I29" s="142">
        <f>I23+I16</f>
        <v>152441</v>
      </c>
      <c r="J29" s="160"/>
    </row>
    <row r="30" ht="4.5" customHeight="1"/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29:B29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7" sqref="A7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74" t="s">
        <v>529</v>
      </c>
      <c r="F1" s="174"/>
    </row>
    <row r="2" spans="5:6" ht="12.75">
      <c r="E2" s="174"/>
      <c r="F2" s="174"/>
    </row>
    <row r="3" spans="5:6" ht="12.75">
      <c r="E3" s="174"/>
      <c r="F3" s="174"/>
    </row>
    <row r="4" spans="5:6" ht="12.75">
      <c r="E4" s="174"/>
      <c r="F4" s="174"/>
    </row>
    <row r="6" spans="1:6" ht="19.5" customHeight="1">
      <c r="A6" s="191" t="s">
        <v>530</v>
      </c>
      <c r="B6" s="191"/>
      <c r="C6" s="191"/>
      <c r="D6" s="191"/>
      <c r="E6" s="191"/>
      <c r="F6" s="191"/>
    </row>
    <row r="7" spans="4:6" ht="19.5" customHeight="1">
      <c r="D7" s="28"/>
      <c r="E7" s="28"/>
      <c r="F7" s="28"/>
    </row>
    <row r="8" spans="4:6" ht="19.5" customHeight="1">
      <c r="D8" s="1"/>
      <c r="E8" s="1"/>
      <c r="F8" s="44" t="s">
        <v>14</v>
      </c>
    </row>
    <row r="9" spans="1:6" ht="19.5" customHeight="1">
      <c r="A9" s="187" t="s">
        <v>18</v>
      </c>
      <c r="B9" s="187" t="s">
        <v>1</v>
      </c>
      <c r="C9" s="187" t="s">
        <v>2</v>
      </c>
      <c r="D9" s="188" t="s">
        <v>76</v>
      </c>
      <c r="E9" s="188" t="s">
        <v>77</v>
      </c>
      <c r="F9" s="188" t="s">
        <v>78</v>
      </c>
    </row>
    <row r="10" spans="1:6" ht="19.5" customHeight="1">
      <c r="A10" s="187"/>
      <c r="B10" s="187"/>
      <c r="C10" s="187"/>
      <c r="D10" s="188"/>
      <c r="E10" s="188"/>
      <c r="F10" s="188"/>
    </row>
    <row r="11" spans="1:6" ht="19.5" customHeight="1">
      <c r="A11" s="187"/>
      <c r="B11" s="187"/>
      <c r="C11" s="187"/>
      <c r="D11" s="188"/>
      <c r="E11" s="188"/>
      <c r="F11" s="188"/>
    </row>
    <row r="12" spans="1:6" ht="7.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</row>
    <row r="13" spans="1:6" ht="42.75" customHeight="1">
      <c r="A13" s="45" t="s">
        <v>6</v>
      </c>
      <c r="B13" s="39">
        <v>801</v>
      </c>
      <c r="C13" s="39">
        <v>80104</v>
      </c>
      <c r="D13" s="143" t="s">
        <v>476</v>
      </c>
      <c r="E13" s="144" t="s">
        <v>477</v>
      </c>
      <c r="F13" s="145">
        <f>2!H54</f>
        <v>1800000</v>
      </c>
    </row>
    <row r="14" spans="1:6" ht="40.5" customHeight="1">
      <c r="A14" s="45" t="s">
        <v>7</v>
      </c>
      <c r="B14" s="39">
        <v>926</v>
      </c>
      <c r="C14" s="39">
        <v>92604</v>
      </c>
      <c r="D14" s="146" t="s">
        <v>478</v>
      </c>
      <c r="E14" s="144" t="s">
        <v>479</v>
      </c>
      <c r="F14" s="145">
        <f>2!H91</f>
        <v>640000</v>
      </c>
    </row>
    <row r="15" spans="1:6" s="1" customFormat="1" ht="30" customHeight="1">
      <c r="A15" s="206" t="s">
        <v>40</v>
      </c>
      <c r="B15" s="207"/>
      <c r="C15" s="207"/>
      <c r="D15" s="208"/>
      <c r="E15" s="45"/>
      <c r="F15" s="142">
        <f>F14+F13</f>
        <v>2440000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4" sqref="D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5" ht="12.75">
      <c r="D1" s="182" t="s">
        <v>532</v>
      </c>
      <c r="E1" s="182"/>
    </row>
    <row r="2" spans="4:5" ht="12.75">
      <c r="D2" s="182"/>
      <c r="E2" s="182"/>
    </row>
    <row r="3" spans="4:5" ht="12.75">
      <c r="D3" s="182"/>
      <c r="E3" s="182"/>
    </row>
    <row r="5" spans="1:5" ht="19.5" customHeight="1">
      <c r="A5" s="170" t="s">
        <v>531</v>
      </c>
      <c r="B5" s="170"/>
      <c r="C5" s="170"/>
      <c r="D5" s="170"/>
      <c r="E5" s="170"/>
    </row>
    <row r="6" spans="4:5" ht="19.5" customHeight="1">
      <c r="D6" s="28"/>
      <c r="E6" s="28"/>
    </row>
    <row r="7" ht="19.5" customHeight="1">
      <c r="E7" s="44" t="s">
        <v>14</v>
      </c>
    </row>
    <row r="8" spans="1:5" ht="19.5" customHeight="1">
      <c r="A8" s="30" t="s">
        <v>18</v>
      </c>
      <c r="B8" s="30" t="s">
        <v>1</v>
      </c>
      <c r="C8" s="30" t="s">
        <v>2</v>
      </c>
      <c r="D8" s="30" t="s">
        <v>79</v>
      </c>
      <c r="E8" s="30" t="s">
        <v>80</v>
      </c>
    </row>
    <row r="9" spans="1:5" ht="7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</row>
    <row r="10" spans="1:5" ht="42.75" customHeight="1">
      <c r="A10" s="76" t="s">
        <v>6</v>
      </c>
      <c r="B10" s="76">
        <v>801</v>
      </c>
      <c r="C10" s="76">
        <v>80110</v>
      </c>
      <c r="D10" s="144" t="s">
        <v>480</v>
      </c>
      <c r="E10" s="145">
        <f>2!H55</f>
        <v>221400</v>
      </c>
    </row>
    <row r="11" spans="1:5" ht="30" customHeight="1">
      <c r="A11" s="76" t="s">
        <v>7</v>
      </c>
      <c r="B11" s="76">
        <v>921</v>
      </c>
      <c r="C11" s="76">
        <v>92109</v>
      </c>
      <c r="D11" s="144" t="s">
        <v>482</v>
      </c>
      <c r="E11" s="145">
        <f>2!H85</f>
        <v>588000</v>
      </c>
    </row>
    <row r="12" spans="1:5" ht="30" customHeight="1">
      <c r="A12" s="76" t="s">
        <v>8</v>
      </c>
      <c r="B12" s="76">
        <v>921</v>
      </c>
      <c r="C12" s="76">
        <v>92116</v>
      </c>
      <c r="D12" s="144" t="s">
        <v>482</v>
      </c>
      <c r="E12" s="145">
        <f>2!H86</f>
        <v>593000</v>
      </c>
    </row>
    <row r="13" spans="1:5" ht="30" customHeight="1">
      <c r="A13" s="76" t="s">
        <v>0</v>
      </c>
      <c r="B13" s="76">
        <v>921</v>
      </c>
      <c r="C13" s="76">
        <v>92118</v>
      </c>
      <c r="D13" s="144" t="s">
        <v>483</v>
      </c>
      <c r="E13" s="145">
        <f>2!H87</f>
        <v>203000</v>
      </c>
    </row>
    <row r="14" spans="1:5" ht="30" customHeight="1">
      <c r="A14" s="190" t="s">
        <v>40</v>
      </c>
      <c r="B14" s="190"/>
      <c r="C14" s="190"/>
      <c r="D14" s="190"/>
      <c r="E14" s="142">
        <f>E13+E12+E11+E10</f>
        <v>1605400</v>
      </c>
    </row>
  </sheetData>
  <mergeCells count="3">
    <mergeCell ref="A5:E5"/>
    <mergeCell ref="A14:D14"/>
    <mergeCell ref="D1:E3"/>
  </mergeCells>
  <printOptions horizontalCentered="1"/>
  <pageMargins left="0.5511811023622047" right="0.5118110236220472" top="1.26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2008-01-02T12:53:17Z</cp:lastPrinted>
  <dcterms:created xsi:type="dcterms:W3CDTF">1998-12-09T13:02:10Z</dcterms:created>
  <dcterms:modified xsi:type="dcterms:W3CDTF">2008-01-03T09:10:00Z</dcterms:modified>
  <cp:category/>
  <cp:version/>
  <cp:contentType/>
  <cp:contentStatus/>
</cp:coreProperties>
</file>