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</sheets>
  <definedNames>
    <definedName name="_xlnm.Print_Titles" localSheetId="9">'12'!$9:$9</definedName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<sst xmlns="http://schemas.openxmlformats.org/spreadsheetml/2006/main" count="490" uniqueCount="244">
  <si>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</si>
  <si>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</si>
  <si>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</si>
  <si>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</si>
  <si>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</si>
  <si>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</si>
  <si>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</si>
  <si>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</si>
  <si>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</si>
  <si>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Załącznik nr 11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</si>
  <si>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 xml:space="preserve">Załącznik nr 12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</si>
  <si>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</si>
  <si>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</si>
  <si>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</si>
  <si>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Budowa chodnika w Bogucicach - projekt i wykonawstwo 2009-2010</t>
  </si>
  <si>
    <t xml:space="preserve">Załącznik nr 7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</si>
  <si>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 xml:space="preserve"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</si>
  <si>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</si>
  <si>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</si>
  <si>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</si>
  <si>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</si>
  <si>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</si>
  <si>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</si>
  <si>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</si>
  <si>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</si>
  <si>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</si>
  <si>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</si>
  <si>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</si>
  <si>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</si>
  <si>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</si>
  <si>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</si>
  <si>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</si>
  <si>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</si>
  <si>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</si>
  <si>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</si>
  <si>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</si>
  <si>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</si>
  <si>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</si>
  <si>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</si>
  <si>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</si>
  <si>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</si>
  <si>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</si>
  <si>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</si>
  <si>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</si>
  <si>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</si>
  <si>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</si>
  <si>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</si>
  <si>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</si>
  <si>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</si>
  <si>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</si>
  <si>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</si>
  <si>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</si>
  <si>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</si>
  <si>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</si>
  <si>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</si>
  <si>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</si>
  <si>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</si>
  <si>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</si>
  <si>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</si>
  <si>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</si>
  <si>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</si>
  <si>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</si>
  <si>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</si>
  <si>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</si>
  <si>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</si>
  <si>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</si>
  <si>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</si>
  <si>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</si>
  <si>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</si>
  <si>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</si>
  <si>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</si>
  <si>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</si>
  <si>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</si>
  <si>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</si>
  <si>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</si>
  <si>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</si>
  <si>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</si>
  <si>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</si>
  <si>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</si>
  <si>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</si>
  <si>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</si>
  <si>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</si>
  <si>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</si>
  <si>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</si>
  <si>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</si>
  <si>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instytucji</t>
  </si>
  <si>
    <t>Kwota dotacji</t>
  </si>
  <si>
    <t>Jednostka otrzymująca dotację</t>
  </si>
  <si>
    <t>010</t>
  </si>
  <si>
    <t>01010</t>
  </si>
  <si>
    <t>600</t>
  </si>
  <si>
    <t>60016</t>
  </si>
  <si>
    <t>700</t>
  </si>
  <si>
    <t>801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</si>
  <si>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</si>
  <si>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</si>
  <si>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</si>
  <si>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</si>
  <si>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</si>
  <si>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</si>
  <si>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</si>
  <si>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</si>
  <si>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</si>
  <si>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</si>
  <si>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</si>
  <si>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</si>
  <si>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</si>
  <si>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</si>
  <si>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</si>
  <si>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</si>
  <si>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</si>
  <si>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</si>
  <si>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</si>
  <si>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</si>
  <si>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</si>
  <si>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</si>
  <si>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</si>
  <si>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Miejski Ośrodek Sportu i Rekreacji w Pińczowie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</si>
  <si>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</si>
  <si>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</si>
  <si>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</si>
  <si>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</si>
  <si>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</si>
  <si>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</si>
  <si>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</si>
  <si>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</si>
  <si>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</si>
  <si>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</si>
  <si>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</si>
  <si>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</si>
  <si>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</si>
  <si>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</si>
  <si>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</si>
  <si>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</si>
  <si>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</si>
  <si>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</si>
  <si>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</si>
  <si>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</si>
  <si>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</si>
  <si>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</si>
  <si>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</si>
  <si>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</si>
  <si>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</si>
  <si>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</si>
  <si>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</si>
  <si>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</si>
  <si>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</si>
  <si>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</si>
  <si>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</si>
  <si>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</si>
  <si>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</si>
  <si>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</si>
  <si>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</si>
  <si>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</si>
  <si>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</si>
  <si>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</si>
  <si>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</si>
  <si>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</si>
  <si>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</si>
  <si>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</si>
  <si>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</si>
  <si>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</si>
  <si>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</si>
  <si>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</si>
  <si>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</si>
  <si>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</si>
  <si>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</si>
  <si>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</si>
  <si>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</si>
  <si>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</si>
  <si>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</si>
  <si>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</si>
  <si>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</si>
  <si>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</si>
  <si>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</si>
  <si>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</si>
  <si>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</si>
  <si>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</si>
  <si>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</si>
  <si>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</si>
  <si>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</si>
  <si>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</si>
  <si>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</si>
  <si>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</si>
  <si>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</si>
  <si>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</si>
  <si>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</si>
  <si>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</si>
  <si>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</si>
  <si>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</si>
  <si>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</si>
  <si>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</si>
  <si>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Plan limitów wydatków na wieloletnie programy inwestycyjne w latach 2009 - 2011</t>
  </si>
  <si>
    <t>Zadania inwestycyjne roczne w 2009 r.</t>
  </si>
  <si>
    <t>Plan dotacji podmiotowych w 2009 r.</t>
  </si>
  <si>
    <t>Dotacje celowe</t>
  </si>
  <si>
    <t>Zakup centrali telefonicznej w Urzędzie Miejskim</t>
  </si>
  <si>
    <t xml:space="preserve">Załącznik nr 5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</si>
  <si>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</si>
  <si>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</si>
  <si>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</si>
  <si>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</si>
  <si>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</si>
  <si>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</si>
  <si>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</si>
  <si>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</si>
  <si>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</si>
  <si>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</si>
  <si>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</si>
  <si>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</si>
  <si>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</si>
  <si>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</si>
  <si>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</si>
  <si>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</si>
  <si>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</si>
  <si>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</si>
  <si>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</si>
  <si>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</si>
  <si>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</si>
  <si>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</si>
  <si>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</si>
  <si>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</si>
  <si>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</si>
  <si>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</si>
  <si>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</si>
  <si>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t xml:space="preserve">Załącznik nr 4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</si>
  <si>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Przebudowa ulic: 7 Źródeł i Grodziskowej w Pińczowie 2008-2010</t>
  </si>
  <si>
    <t>A. 802 091 - MSWiA "Schetynówka"
B. 0
C. 0
D. 0</t>
  </si>
  <si>
    <t>60014</t>
  </si>
  <si>
    <t>Remont chodnika w ciągu drogi wojewódzkiej Nr 767 Pińczów - Busko Zdrój na odcinku od Supermarketu Tesco do ulicy 7 Źródeł w Pińczowie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</si>
  <si>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</si>
  <si>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</si>
  <si>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</si>
  <si>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</si>
  <si>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</si>
  <si>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</si>
  <si>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</si>
  <si>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</si>
  <si>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</si>
  <si>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</si>
  <si>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t>Załącznik nr 3 do  Uchwały Nr XXXVI/321/09 Rady Miejskiej w Pińczowie                                             z dnia 30 czerwca 2009 r.                                                       w sprawie zmian w budżecie Gminy na rok 2009</t>
  </si>
  <si>
    <t>Przewodniczący</t>
  </si>
  <si>
    <t>Rady Miejskiej</t>
  </si>
  <si>
    <t>Marek OMASTA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</si>
</sst>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left" wrapText="1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3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F46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27" t="s">
        <v>240</v>
      </c>
      <c r="N1" s="127"/>
      <c r="O1" s="127"/>
    </row>
    <row r="2" spans="13:15" ht="12.75">
      <c r="M2" s="127"/>
      <c r="N2" s="127"/>
      <c r="O2" s="127"/>
    </row>
    <row r="3" spans="13:15" ht="12.75">
      <c r="M3" s="127"/>
      <c r="N3" s="127"/>
      <c r="O3" s="127"/>
    </row>
    <row r="4" spans="13:15" ht="25.5" customHeight="1">
      <c r="M4" s="127"/>
      <c r="N4" s="127"/>
      <c r="O4" s="127"/>
    </row>
    <row r="5" spans="1:15" ht="18">
      <c r="A5" s="128" t="s">
        <v>192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30</v>
      </c>
    </row>
    <row r="7" spans="1:15" s="10" customFormat="1" ht="19.5" customHeight="1">
      <c r="A7" s="129" t="s">
        <v>31</v>
      </c>
      <c r="B7" s="129" t="s">
        <v>18</v>
      </c>
      <c r="C7" s="129" t="s">
        <v>29</v>
      </c>
      <c r="D7" s="126" t="s">
        <v>46</v>
      </c>
      <c r="E7" s="126" t="s">
        <v>32</v>
      </c>
      <c r="F7" s="126" t="s">
        <v>148</v>
      </c>
      <c r="G7" s="126" t="s">
        <v>35</v>
      </c>
      <c r="H7" s="126"/>
      <c r="I7" s="126"/>
      <c r="J7" s="126"/>
      <c r="K7" s="126"/>
      <c r="L7" s="126"/>
      <c r="M7" s="126"/>
      <c r="N7" s="126"/>
      <c r="O7" s="126" t="s">
        <v>33</v>
      </c>
    </row>
    <row r="8" spans="1:15" s="10" customFormat="1" ht="19.5" customHeight="1">
      <c r="A8" s="129"/>
      <c r="B8" s="129"/>
      <c r="C8" s="129"/>
      <c r="D8" s="126"/>
      <c r="E8" s="126"/>
      <c r="F8" s="126"/>
      <c r="G8" s="126" t="s">
        <v>149</v>
      </c>
      <c r="H8" s="126" t="s">
        <v>26</v>
      </c>
      <c r="I8" s="126"/>
      <c r="J8" s="126"/>
      <c r="K8" s="126"/>
      <c r="L8" s="126" t="s">
        <v>52</v>
      </c>
      <c r="M8" s="126" t="s">
        <v>127</v>
      </c>
      <c r="N8" s="126" t="s">
        <v>150</v>
      </c>
      <c r="O8" s="126"/>
    </row>
    <row r="9" spans="1:15" s="10" customFormat="1" ht="29.25" customHeight="1">
      <c r="A9" s="129"/>
      <c r="B9" s="129"/>
      <c r="C9" s="129"/>
      <c r="D9" s="126"/>
      <c r="E9" s="126"/>
      <c r="F9" s="126"/>
      <c r="G9" s="126"/>
      <c r="H9" s="126" t="s">
        <v>48</v>
      </c>
      <c r="I9" s="126" t="s">
        <v>44</v>
      </c>
      <c r="J9" s="126" t="s">
        <v>49</v>
      </c>
      <c r="K9" s="126" t="s">
        <v>45</v>
      </c>
      <c r="L9" s="126"/>
      <c r="M9" s="126"/>
      <c r="N9" s="126"/>
      <c r="O9" s="126"/>
    </row>
    <row r="10" spans="1:15" s="10" customFormat="1" ht="19.5" customHeight="1">
      <c r="A10" s="129"/>
      <c r="B10" s="129"/>
      <c r="C10" s="129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10" customFormat="1" ht="19.5" customHeight="1">
      <c r="A11" s="129"/>
      <c r="B11" s="129"/>
      <c r="C11" s="129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41">
        <v>1</v>
      </c>
      <c r="B13" s="42" t="s">
        <v>88</v>
      </c>
      <c r="C13" s="42" t="s">
        <v>89</v>
      </c>
      <c r="D13" s="47" t="s">
        <v>213</v>
      </c>
      <c r="E13" s="44">
        <f>G13+L13+M13+N13+F13</f>
        <v>4956000</v>
      </c>
      <c r="F13" s="44">
        <v>456000</v>
      </c>
      <c r="G13" s="44">
        <f>H13+I13+K13</f>
        <v>450000</v>
      </c>
      <c r="H13" s="44">
        <v>100000</v>
      </c>
      <c r="I13" s="44">
        <v>350000</v>
      </c>
      <c r="J13" s="45" t="s">
        <v>100</v>
      </c>
      <c r="K13" s="44">
        <v>0</v>
      </c>
      <c r="L13" s="44">
        <v>1000000</v>
      </c>
      <c r="M13" s="44">
        <v>3050000</v>
      </c>
      <c r="N13" s="44">
        <v>0</v>
      </c>
      <c r="O13" s="46" t="s">
        <v>101</v>
      </c>
    </row>
    <row r="14" spans="1:15" ht="54" customHeight="1">
      <c r="A14" s="41">
        <v>2</v>
      </c>
      <c r="B14" s="42" t="s">
        <v>88</v>
      </c>
      <c r="C14" s="42" t="s">
        <v>89</v>
      </c>
      <c r="D14" s="47" t="s">
        <v>144</v>
      </c>
      <c r="E14" s="44">
        <f aca="true" t="shared" si="0" ref="E14:E46">G14+L14+M14+N14+F14</f>
        <v>5457266</v>
      </c>
      <c r="F14" s="44">
        <v>1000000</v>
      </c>
      <c r="G14" s="44">
        <f>H14+I14+K14</f>
        <v>4457266</v>
      </c>
      <c r="H14" s="44">
        <f>1449228+100000-800000</f>
        <v>749228</v>
      </c>
      <c r="I14" s="44">
        <f>450772+800000+50000</f>
        <v>1300772</v>
      </c>
      <c r="J14" s="45" t="s">
        <v>100</v>
      </c>
      <c r="K14" s="44">
        <f>2500000-92734</f>
        <v>2407266</v>
      </c>
      <c r="L14" s="44">
        <v>0</v>
      </c>
      <c r="M14" s="44">
        <v>0</v>
      </c>
      <c r="N14" s="44">
        <v>0</v>
      </c>
      <c r="O14" s="46" t="s">
        <v>101</v>
      </c>
    </row>
    <row r="15" spans="1:15" ht="54" customHeight="1">
      <c r="A15" s="41">
        <v>3</v>
      </c>
      <c r="B15" s="42" t="s">
        <v>88</v>
      </c>
      <c r="C15" s="42" t="s">
        <v>89</v>
      </c>
      <c r="D15" s="47" t="s">
        <v>3</v>
      </c>
      <c r="E15" s="44">
        <f t="shared" si="0"/>
        <v>525000</v>
      </c>
      <c r="F15" s="44">
        <v>0</v>
      </c>
      <c r="G15" s="44">
        <v>25000</v>
      </c>
      <c r="H15" s="44">
        <v>25000</v>
      </c>
      <c r="I15" s="44">
        <v>0</v>
      </c>
      <c r="J15" s="45" t="s">
        <v>100</v>
      </c>
      <c r="K15" s="44">
        <v>0</v>
      </c>
      <c r="L15" s="44">
        <v>500000</v>
      </c>
      <c r="M15" s="44">
        <v>0</v>
      </c>
      <c r="N15" s="44">
        <v>0</v>
      </c>
      <c r="O15" s="46" t="s">
        <v>101</v>
      </c>
    </row>
    <row r="16" spans="1:15" ht="12.75">
      <c r="A16" s="125" t="s">
        <v>102</v>
      </c>
      <c r="B16" s="125"/>
      <c r="C16" s="125"/>
      <c r="D16" s="125"/>
      <c r="E16" s="48">
        <f>E14+E13+E15</f>
        <v>10938266</v>
      </c>
      <c r="F16" s="48">
        <f>F14+F13+F15</f>
        <v>1456000</v>
      </c>
      <c r="G16" s="48">
        <f>G14+G13+G15</f>
        <v>4932266</v>
      </c>
      <c r="H16" s="48">
        <f>H14+H13+H15</f>
        <v>874228</v>
      </c>
      <c r="I16" s="48">
        <f>I14+I13+I15</f>
        <v>1650772</v>
      </c>
      <c r="J16" s="48" t="s">
        <v>103</v>
      </c>
      <c r="K16" s="48">
        <f>K14+K13</f>
        <v>2407266</v>
      </c>
      <c r="L16" s="48">
        <f>L14+L13+L15</f>
        <v>1500000</v>
      </c>
      <c r="M16" s="48">
        <f>M14+M13+M15</f>
        <v>3050000</v>
      </c>
      <c r="N16" s="48">
        <f>N14+N13</f>
        <v>0</v>
      </c>
      <c r="O16" s="48" t="s">
        <v>103</v>
      </c>
    </row>
    <row r="17" spans="1:15" ht="63.75">
      <c r="A17" s="41">
        <v>4</v>
      </c>
      <c r="B17" s="42" t="s">
        <v>90</v>
      </c>
      <c r="C17" s="41">
        <v>60013</v>
      </c>
      <c r="D17" s="45" t="s">
        <v>104</v>
      </c>
      <c r="E17" s="44">
        <f t="shared" si="0"/>
        <v>30000</v>
      </c>
      <c r="F17" s="44">
        <v>0</v>
      </c>
      <c r="G17" s="44">
        <f>H17+I17+K17</f>
        <v>30000</v>
      </c>
      <c r="H17" s="44">
        <v>30000</v>
      </c>
      <c r="I17" s="44">
        <v>0</v>
      </c>
      <c r="J17" s="45" t="s">
        <v>100</v>
      </c>
      <c r="K17" s="44">
        <v>0</v>
      </c>
      <c r="L17" s="44">
        <v>0</v>
      </c>
      <c r="M17" s="44">
        <v>0</v>
      </c>
      <c r="N17" s="44">
        <v>0</v>
      </c>
      <c r="O17" s="46" t="s">
        <v>101</v>
      </c>
    </row>
    <row r="18" spans="1:15" ht="114.75">
      <c r="A18" s="41">
        <v>5</v>
      </c>
      <c r="B18" s="42" t="s">
        <v>90</v>
      </c>
      <c r="C18" s="41">
        <v>60013</v>
      </c>
      <c r="D18" s="45" t="s">
        <v>221</v>
      </c>
      <c r="E18" s="44">
        <f t="shared" si="0"/>
        <v>296000</v>
      </c>
      <c r="F18" s="44">
        <v>100000</v>
      </c>
      <c r="G18" s="44">
        <f aca="true" t="shared" si="1" ref="G18:G29">H18+I18+K18</f>
        <v>196000</v>
      </c>
      <c r="H18" s="44">
        <f>20000+26000</f>
        <v>46000</v>
      </c>
      <c r="I18" s="44">
        <v>150000</v>
      </c>
      <c r="J18" s="45" t="s">
        <v>100</v>
      </c>
      <c r="K18" s="44">
        <v>0</v>
      </c>
      <c r="L18" s="44">
        <v>0</v>
      </c>
      <c r="M18" s="44">
        <v>0</v>
      </c>
      <c r="N18" s="44">
        <v>0</v>
      </c>
      <c r="O18" s="46" t="s">
        <v>101</v>
      </c>
    </row>
    <row r="19" spans="1:15" ht="51">
      <c r="A19" s="41">
        <v>6</v>
      </c>
      <c r="B19" s="42" t="s">
        <v>90</v>
      </c>
      <c r="C19" s="41">
        <v>60013</v>
      </c>
      <c r="D19" s="45" t="s">
        <v>14</v>
      </c>
      <c r="E19" s="44">
        <f>G19+L19+M19+N19+F19</f>
        <v>306000</v>
      </c>
      <c r="F19" s="44">
        <v>0</v>
      </c>
      <c r="G19" s="44">
        <f>H19+I19+K19</f>
        <v>6000</v>
      </c>
      <c r="H19" s="44">
        <v>6000</v>
      </c>
      <c r="I19" s="44">
        <v>0</v>
      </c>
      <c r="J19" s="45" t="s">
        <v>100</v>
      </c>
      <c r="K19" s="44">
        <v>0</v>
      </c>
      <c r="L19" s="44">
        <v>300000</v>
      </c>
      <c r="M19" s="44">
        <v>0</v>
      </c>
      <c r="N19" s="44">
        <v>0</v>
      </c>
      <c r="O19" s="46" t="s">
        <v>101</v>
      </c>
    </row>
    <row r="20" spans="1:15" ht="51">
      <c r="A20" s="41">
        <v>7</v>
      </c>
      <c r="B20" s="42" t="s">
        <v>90</v>
      </c>
      <c r="C20" s="41">
        <v>60016</v>
      </c>
      <c r="D20" s="45" t="s">
        <v>187</v>
      </c>
      <c r="E20" s="44">
        <f t="shared" si="0"/>
        <v>194256</v>
      </c>
      <c r="F20" s="44">
        <f>94256+50000</f>
        <v>144256</v>
      </c>
      <c r="G20" s="44">
        <f t="shared" si="1"/>
        <v>50000</v>
      </c>
      <c r="H20" s="44">
        <v>50000</v>
      </c>
      <c r="I20" s="44">
        <v>0</v>
      </c>
      <c r="J20" s="45" t="s">
        <v>100</v>
      </c>
      <c r="K20" s="44">
        <v>0</v>
      </c>
      <c r="L20" s="44">
        <v>0</v>
      </c>
      <c r="M20" s="44">
        <v>0</v>
      </c>
      <c r="N20" s="44">
        <v>0</v>
      </c>
      <c r="O20" s="46" t="s">
        <v>101</v>
      </c>
    </row>
    <row r="21" spans="1:15" ht="63.75">
      <c r="A21" s="41">
        <v>8</v>
      </c>
      <c r="B21" s="42" t="s">
        <v>90</v>
      </c>
      <c r="C21" s="41">
        <v>60016</v>
      </c>
      <c r="D21" s="45" t="s">
        <v>126</v>
      </c>
      <c r="E21" s="44">
        <f t="shared" si="0"/>
        <v>1623594</v>
      </c>
      <c r="F21" s="44">
        <f>34894+988700</f>
        <v>1023594</v>
      </c>
      <c r="G21" s="44">
        <f t="shared" si="1"/>
        <v>600000</v>
      </c>
      <c r="H21" s="44">
        <f>100000-50000</f>
        <v>50000</v>
      </c>
      <c r="I21" s="44">
        <f>500000+50000</f>
        <v>550000</v>
      </c>
      <c r="J21" s="45" t="s">
        <v>100</v>
      </c>
      <c r="K21" s="44">
        <v>0</v>
      </c>
      <c r="L21" s="44">
        <v>0</v>
      </c>
      <c r="M21" s="44">
        <v>0</v>
      </c>
      <c r="N21" s="44">
        <v>0</v>
      </c>
      <c r="O21" s="46" t="s">
        <v>101</v>
      </c>
    </row>
    <row r="22" spans="1:15" ht="51">
      <c r="A22" s="41">
        <v>9</v>
      </c>
      <c r="B22" s="42" t="s">
        <v>90</v>
      </c>
      <c r="C22" s="41">
        <v>60016</v>
      </c>
      <c r="D22" s="45" t="s">
        <v>199</v>
      </c>
      <c r="E22" s="44">
        <f t="shared" si="0"/>
        <v>5150000</v>
      </c>
      <c r="F22" s="44">
        <v>80000</v>
      </c>
      <c r="G22" s="44">
        <f t="shared" si="1"/>
        <v>1350000</v>
      </c>
      <c r="H22" s="44">
        <v>0</v>
      </c>
      <c r="I22" s="44">
        <v>0</v>
      </c>
      <c r="J22" s="45" t="s">
        <v>100</v>
      </c>
      <c r="K22" s="44">
        <v>1350000</v>
      </c>
      <c r="L22" s="44">
        <f>3520000+200000</f>
        <v>3720000</v>
      </c>
      <c r="M22" s="44">
        <v>0</v>
      </c>
      <c r="N22" s="44">
        <v>0</v>
      </c>
      <c r="O22" s="46" t="s">
        <v>101</v>
      </c>
    </row>
    <row r="23" spans="1:15" ht="89.25">
      <c r="A23" s="41">
        <v>10</v>
      </c>
      <c r="B23" s="42" t="s">
        <v>90</v>
      </c>
      <c r="C23" s="41">
        <v>60016</v>
      </c>
      <c r="D23" s="45" t="s">
        <v>200</v>
      </c>
      <c r="E23" s="44">
        <f t="shared" si="0"/>
        <v>2002081</v>
      </c>
      <c r="F23" s="44">
        <v>206000</v>
      </c>
      <c r="G23" s="44">
        <f>H23+I23+K23+1000000+47000-244909</f>
        <v>1796081</v>
      </c>
      <c r="H23" s="44">
        <f>500000-250000-6010+95000</f>
        <v>338990</v>
      </c>
      <c r="I23" s="44">
        <f>500000+100000+55000</f>
        <v>655000</v>
      </c>
      <c r="J23" s="45" t="s">
        <v>227</v>
      </c>
      <c r="K23" s="44">
        <v>0</v>
      </c>
      <c r="L23" s="44">
        <v>0</v>
      </c>
      <c r="M23" s="44">
        <v>0</v>
      </c>
      <c r="N23" s="44">
        <v>0</v>
      </c>
      <c r="O23" s="46" t="s">
        <v>101</v>
      </c>
    </row>
    <row r="24" spans="1:15" ht="63.75">
      <c r="A24" s="41">
        <v>11</v>
      </c>
      <c r="B24" s="50">
        <v>600</v>
      </c>
      <c r="C24" s="50">
        <v>60016</v>
      </c>
      <c r="D24" s="43" t="s">
        <v>105</v>
      </c>
      <c r="E24" s="44">
        <f t="shared" si="0"/>
        <v>490219</v>
      </c>
      <c r="F24" s="44">
        <f>100219+340000</f>
        <v>440219</v>
      </c>
      <c r="G24" s="44">
        <f t="shared" si="1"/>
        <v>50000</v>
      </c>
      <c r="H24" s="44">
        <v>50000</v>
      </c>
      <c r="I24" s="44">
        <v>0</v>
      </c>
      <c r="J24" s="45" t="s">
        <v>100</v>
      </c>
      <c r="K24" s="44">
        <v>0</v>
      </c>
      <c r="L24" s="44">
        <v>0</v>
      </c>
      <c r="M24" s="44">
        <v>0</v>
      </c>
      <c r="N24" s="44">
        <v>0</v>
      </c>
      <c r="O24" s="46" t="s">
        <v>101</v>
      </c>
    </row>
    <row r="25" spans="1:15" ht="63.75">
      <c r="A25" s="41">
        <v>12</v>
      </c>
      <c r="B25" s="50">
        <v>600</v>
      </c>
      <c r="C25" s="50">
        <v>60016</v>
      </c>
      <c r="D25" s="43" t="s">
        <v>106</v>
      </c>
      <c r="E25" s="44">
        <f t="shared" si="0"/>
        <v>128700</v>
      </c>
      <c r="F25" s="44">
        <v>10000</v>
      </c>
      <c r="G25" s="44">
        <f t="shared" si="1"/>
        <v>118700</v>
      </c>
      <c r="H25" s="44">
        <f>20000-1300</f>
        <v>18700</v>
      </c>
      <c r="I25" s="44">
        <v>100000</v>
      </c>
      <c r="J25" s="45" t="s">
        <v>100</v>
      </c>
      <c r="K25" s="44">
        <v>0</v>
      </c>
      <c r="L25" s="44">
        <v>0</v>
      </c>
      <c r="M25" s="44">
        <v>0</v>
      </c>
      <c r="N25" s="44">
        <v>0</v>
      </c>
      <c r="O25" s="46" t="s">
        <v>101</v>
      </c>
    </row>
    <row r="26" spans="1:15" ht="63.75">
      <c r="A26" s="41">
        <v>13</v>
      </c>
      <c r="B26" s="50">
        <v>600</v>
      </c>
      <c r="C26" s="50">
        <v>60016</v>
      </c>
      <c r="D26" s="43" t="s">
        <v>189</v>
      </c>
      <c r="E26" s="44">
        <f t="shared" si="0"/>
        <v>300000</v>
      </c>
      <c r="F26" s="44">
        <v>5000</v>
      </c>
      <c r="G26" s="44">
        <f t="shared" si="1"/>
        <v>232000</v>
      </c>
      <c r="H26" s="44">
        <f>20000+112000-100000</f>
        <v>32000</v>
      </c>
      <c r="I26" s="44">
        <f>100000+100000</f>
        <v>200000</v>
      </c>
      <c r="J26" s="45" t="s">
        <v>100</v>
      </c>
      <c r="K26" s="44">
        <v>0</v>
      </c>
      <c r="L26" s="44">
        <v>63000</v>
      </c>
      <c r="M26" s="44">
        <v>0</v>
      </c>
      <c r="N26" s="44">
        <v>0</v>
      </c>
      <c r="O26" s="46" t="s">
        <v>101</v>
      </c>
    </row>
    <row r="27" spans="1:15" ht="37.5" customHeight="1">
      <c r="A27" s="41">
        <v>14</v>
      </c>
      <c r="B27" s="50">
        <v>600</v>
      </c>
      <c r="C27" s="50">
        <v>60016</v>
      </c>
      <c r="D27" s="43" t="s">
        <v>145</v>
      </c>
      <c r="E27" s="44">
        <f t="shared" si="0"/>
        <v>855100</v>
      </c>
      <c r="F27" s="44">
        <v>380000</v>
      </c>
      <c r="G27" s="44">
        <f t="shared" si="1"/>
        <v>475100</v>
      </c>
      <c r="H27" s="44">
        <v>30000</v>
      </c>
      <c r="I27" s="44">
        <f>500000-54900</f>
        <v>445100</v>
      </c>
      <c r="J27" s="45" t="s">
        <v>100</v>
      </c>
      <c r="K27" s="44">
        <v>0</v>
      </c>
      <c r="L27" s="44">
        <v>0</v>
      </c>
      <c r="M27" s="44">
        <v>0</v>
      </c>
      <c r="N27" s="44">
        <v>0</v>
      </c>
      <c r="O27" s="46" t="s">
        <v>101</v>
      </c>
    </row>
    <row r="28" spans="1:15" ht="37.5" customHeight="1">
      <c r="A28" s="41">
        <v>15</v>
      </c>
      <c r="B28" s="50">
        <v>600</v>
      </c>
      <c r="C28" s="50">
        <v>60016</v>
      </c>
      <c r="D28" s="43" t="s">
        <v>188</v>
      </c>
      <c r="E28" s="44">
        <f t="shared" si="0"/>
        <v>1220000</v>
      </c>
      <c r="F28" s="44">
        <v>0</v>
      </c>
      <c r="G28" s="44">
        <f t="shared" si="1"/>
        <v>20000</v>
      </c>
      <c r="H28" s="44">
        <v>20000</v>
      </c>
      <c r="I28" s="44">
        <v>0</v>
      </c>
      <c r="J28" s="45" t="s">
        <v>100</v>
      </c>
      <c r="K28" s="44">
        <v>0</v>
      </c>
      <c r="L28" s="44">
        <v>1200000</v>
      </c>
      <c r="M28" s="44">
        <v>0</v>
      </c>
      <c r="N28" s="44">
        <v>0</v>
      </c>
      <c r="O28" s="46" t="s">
        <v>101</v>
      </c>
    </row>
    <row r="29" spans="1:15" ht="51">
      <c r="A29" s="41">
        <v>16</v>
      </c>
      <c r="B29" s="50">
        <v>600</v>
      </c>
      <c r="C29" s="50">
        <v>60016</v>
      </c>
      <c r="D29" s="43" t="s">
        <v>226</v>
      </c>
      <c r="E29" s="44">
        <f t="shared" si="0"/>
        <v>4100000</v>
      </c>
      <c r="F29" s="44">
        <v>0</v>
      </c>
      <c r="G29" s="44">
        <f t="shared" si="1"/>
        <v>100000</v>
      </c>
      <c r="H29" s="44">
        <v>50000</v>
      </c>
      <c r="I29" s="44">
        <f>250000-150000-50000</f>
        <v>50000</v>
      </c>
      <c r="J29" s="45" t="s">
        <v>100</v>
      </c>
      <c r="K29" s="44">
        <v>0</v>
      </c>
      <c r="L29" s="44">
        <f>680000+150000+3170000</f>
        <v>4000000</v>
      </c>
      <c r="M29" s="44">
        <v>0</v>
      </c>
      <c r="N29" s="44">
        <v>0</v>
      </c>
      <c r="O29" s="46" t="s">
        <v>101</v>
      </c>
    </row>
    <row r="30" spans="1:16" s="56" customFormat="1" ht="64.5" customHeight="1">
      <c r="A30" s="123" t="s">
        <v>107</v>
      </c>
      <c r="B30" s="123"/>
      <c r="C30" s="123"/>
      <c r="D30" s="123"/>
      <c r="E30" s="48">
        <f>SUM(E17:E29)</f>
        <v>16695950</v>
      </c>
      <c r="F30" s="48">
        <f>SUM(F17:F29)</f>
        <v>2389069</v>
      </c>
      <c r="G30" s="48">
        <f>SUM(G17:G29)</f>
        <v>5023881</v>
      </c>
      <c r="H30" s="48">
        <f>SUM(H17:H29)</f>
        <v>721690</v>
      </c>
      <c r="I30" s="48">
        <f>SUM(I17:I29)</f>
        <v>2150100</v>
      </c>
      <c r="J30" s="55" t="s">
        <v>235</v>
      </c>
      <c r="K30" s="48">
        <f>K23+K22</f>
        <v>1350000</v>
      </c>
      <c r="L30" s="48">
        <f>SUM(L17:L29)</f>
        <v>9283000</v>
      </c>
      <c r="M30" s="48">
        <v>0</v>
      </c>
      <c r="N30" s="48">
        <v>0</v>
      </c>
      <c r="O30" s="49" t="s">
        <v>103</v>
      </c>
      <c r="P30" s="77"/>
    </row>
    <row r="31" spans="1:15" ht="51">
      <c r="A31" s="41">
        <v>17</v>
      </c>
      <c r="B31" s="41">
        <v>700</v>
      </c>
      <c r="C31" s="41">
        <v>70095</v>
      </c>
      <c r="D31" s="43" t="s">
        <v>201</v>
      </c>
      <c r="E31" s="44">
        <f t="shared" si="0"/>
        <v>581000</v>
      </c>
      <c r="F31" s="44">
        <v>21000</v>
      </c>
      <c r="G31" s="44">
        <f>70000-10000</f>
        <v>60000</v>
      </c>
      <c r="H31" s="44">
        <f>40000-10000</f>
        <v>30000</v>
      </c>
      <c r="I31" s="44">
        <v>30000</v>
      </c>
      <c r="J31" s="45" t="s">
        <v>100</v>
      </c>
      <c r="K31" s="44">
        <v>0</v>
      </c>
      <c r="L31" s="44">
        <v>500000</v>
      </c>
      <c r="M31" s="44">
        <v>0</v>
      </c>
      <c r="N31" s="44">
        <v>0</v>
      </c>
      <c r="O31" s="46" t="s">
        <v>101</v>
      </c>
    </row>
    <row r="32" spans="1:15" s="56" customFormat="1" ht="35.25" customHeight="1">
      <c r="A32" s="123" t="s">
        <v>108</v>
      </c>
      <c r="B32" s="123"/>
      <c r="C32" s="123"/>
      <c r="D32" s="123"/>
      <c r="E32" s="48">
        <f>E31</f>
        <v>581000</v>
      </c>
      <c r="F32" s="48">
        <f>F31</f>
        <v>21000</v>
      </c>
      <c r="G32" s="48">
        <f>G31</f>
        <v>60000</v>
      </c>
      <c r="H32" s="48">
        <f>H31</f>
        <v>30000</v>
      </c>
      <c r="I32" s="48">
        <f>I31</f>
        <v>30000</v>
      </c>
      <c r="J32" s="48" t="s">
        <v>103</v>
      </c>
      <c r="K32" s="48">
        <f>K31</f>
        <v>0</v>
      </c>
      <c r="L32" s="48">
        <f>L31</f>
        <v>500000</v>
      </c>
      <c r="M32" s="48">
        <f>M31</f>
        <v>0</v>
      </c>
      <c r="N32" s="48">
        <f>N31</f>
        <v>0</v>
      </c>
      <c r="O32" s="48" t="s">
        <v>103</v>
      </c>
    </row>
    <row r="33" spans="1:15" s="56" customFormat="1" ht="57" customHeight="1">
      <c r="A33" s="46">
        <v>18</v>
      </c>
      <c r="B33" s="46">
        <v>750</v>
      </c>
      <c r="C33" s="46">
        <v>75023</v>
      </c>
      <c r="D33" s="47" t="s">
        <v>204</v>
      </c>
      <c r="E33" s="44">
        <f>G33+L33+M33+N33+F33</f>
        <v>59435</v>
      </c>
      <c r="F33" s="44">
        <v>0</v>
      </c>
      <c r="G33" s="44">
        <f>H33+I33+K33</f>
        <v>59000</v>
      </c>
      <c r="H33" s="44">
        <v>59000</v>
      </c>
      <c r="I33" s="44">
        <v>0</v>
      </c>
      <c r="J33" s="45" t="s">
        <v>100</v>
      </c>
      <c r="K33" s="44">
        <v>0</v>
      </c>
      <c r="L33" s="44">
        <v>435</v>
      </c>
      <c r="M33" s="44">
        <v>0</v>
      </c>
      <c r="N33" s="44">
        <v>0</v>
      </c>
      <c r="O33" s="46" t="s">
        <v>101</v>
      </c>
    </row>
    <row r="34" spans="1:15" s="56" customFormat="1" ht="35.25" customHeight="1">
      <c r="A34" s="123" t="s">
        <v>115</v>
      </c>
      <c r="B34" s="123"/>
      <c r="C34" s="123"/>
      <c r="D34" s="123"/>
      <c r="E34" s="48">
        <f>E33</f>
        <v>59435</v>
      </c>
      <c r="F34" s="48">
        <f>F33</f>
        <v>0</v>
      </c>
      <c r="G34" s="48">
        <f>G33</f>
        <v>59000</v>
      </c>
      <c r="H34" s="48">
        <f>H33</f>
        <v>59000</v>
      </c>
      <c r="I34" s="48">
        <f>I33</f>
        <v>0</v>
      </c>
      <c r="J34" s="48" t="s">
        <v>103</v>
      </c>
      <c r="K34" s="48">
        <f>K33</f>
        <v>0</v>
      </c>
      <c r="L34" s="48">
        <f>L33</f>
        <v>435</v>
      </c>
      <c r="M34" s="48">
        <f>M33</f>
        <v>0</v>
      </c>
      <c r="N34" s="48">
        <f>N33</f>
        <v>0</v>
      </c>
      <c r="O34" s="48" t="s">
        <v>205</v>
      </c>
    </row>
    <row r="35" spans="1:15" ht="63.75">
      <c r="A35" s="46">
        <v>19</v>
      </c>
      <c r="B35" s="46">
        <v>801</v>
      </c>
      <c r="C35" s="46">
        <v>80101</v>
      </c>
      <c r="D35" s="47" t="s">
        <v>222</v>
      </c>
      <c r="E35" s="44">
        <f>G35+L35+M35+N35+F35</f>
        <v>5120000</v>
      </c>
      <c r="F35" s="44">
        <v>20000</v>
      </c>
      <c r="G35" s="44">
        <f>H35+I35</f>
        <v>70000</v>
      </c>
      <c r="H35" s="44">
        <v>10000</v>
      </c>
      <c r="I35" s="44">
        <f>90000-30000</f>
        <v>60000</v>
      </c>
      <c r="J35" s="45" t="s">
        <v>100</v>
      </c>
      <c r="K35" s="44">
        <v>0</v>
      </c>
      <c r="L35" s="44">
        <f>5000000+30000</f>
        <v>5030000</v>
      </c>
      <c r="M35" s="44">
        <v>0</v>
      </c>
      <c r="N35" s="44">
        <v>0</v>
      </c>
      <c r="O35" s="46" t="s">
        <v>101</v>
      </c>
    </row>
    <row r="36" spans="1:15" ht="76.5">
      <c r="A36" s="46">
        <v>20</v>
      </c>
      <c r="B36" s="46">
        <v>801</v>
      </c>
      <c r="C36" s="46">
        <v>80110</v>
      </c>
      <c r="D36" s="47" t="s">
        <v>112</v>
      </c>
      <c r="E36" s="44">
        <f t="shared" si="0"/>
        <v>901000</v>
      </c>
      <c r="F36" s="44">
        <v>1000</v>
      </c>
      <c r="G36" s="44">
        <v>600000</v>
      </c>
      <c r="H36" s="44">
        <v>100000</v>
      </c>
      <c r="I36" s="44">
        <v>200000</v>
      </c>
      <c r="J36" s="45" t="s">
        <v>182</v>
      </c>
      <c r="K36" s="44">
        <v>0</v>
      </c>
      <c r="L36" s="44">
        <v>300000</v>
      </c>
      <c r="M36" s="44">
        <v>0</v>
      </c>
      <c r="N36" s="44">
        <v>0</v>
      </c>
      <c r="O36" s="46" t="s">
        <v>101</v>
      </c>
    </row>
    <row r="37" spans="1:15" ht="51">
      <c r="A37" s="123" t="s">
        <v>109</v>
      </c>
      <c r="B37" s="123"/>
      <c r="C37" s="123"/>
      <c r="D37" s="123"/>
      <c r="E37" s="48">
        <f>E36+E35</f>
        <v>6021000</v>
      </c>
      <c r="F37" s="48">
        <f>F36+F35</f>
        <v>21000</v>
      </c>
      <c r="G37" s="48">
        <f>G36+G35</f>
        <v>670000</v>
      </c>
      <c r="H37" s="48">
        <f>H36+H35</f>
        <v>110000</v>
      </c>
      <c r="I37" s="48">
        <f>I36+I35</f>
        <v>260000</v>
      </c>
      <c r="J37" s="55" t="s">
        <v>183</v>
      </c>
      <c r="K37" s="48">
        <f>K36+K35</f>
        <v>0</v>
      </c>
      <c r="L37" s="48">
        <f>L36+L35</f>
        <v>5330000</v>
      </c>
      <c r="M37" s="48">
        <f>M36+M35</f>
        <v>0</v>
      </c>
      <c r="N37" s="48">
        <f>N36+N35</f>
        <v>0</v>
      </c>
      <c r="O37" s="48" t="s">
        <v>103</v>
      </c>
    </row>
    <row r="38" spans="1:15" s="57" customFormat="1" ht="51">
      <c r="A38" s="46">
        <v>21</v>
      </c>
      <c r="B38" s="46">
        <v>900</v>
      </c>
      <c r="C38" s="46">
        <v>90005</v>
      </c>
      <c r="D38" s="47" t="s">
        <v>212</v>
      </c>
      <c r="E38" s="44">
        <f t="shared" si="0"/>
        <v>310000</v>
      </c>
      <c r="F38" s="44">
        <v>0</v>
      </c>
      <c r="G38" s="44">
        <f>H38</f>
        <v>10000</v>
      </c>
      <c r="H38" s="44">
        <v>10000</v>
      </c>
      <c r="I38" s="44">
        <v>0</v>
      </c>
      <c r="J38" s="45" t="s">
        <v>100</v>
      </c>
      <c r="K38" s="44">
        <v>0</v>
      </c>
      <c r="L38" s="44">
        <v>300000</v>
      </c>
      <c r="M38" s="44">
        <v>0</v>
      </c>
      <c r="N38" s="44">
        <v>0</v>
      </c>
      <c r="O38" s="46" t="s">
        <v>101</v>
      </c>
    </row>
    <row r="39" spans="1:15" ht="60.75" customHeight="1">
      <c r="A39" s="41">
        <v>22</v>
      </c>
      <c r="B39" s="42" t="s">
        <v>98</v>
      </c>
      <c r="C39" s="41">
        <v>90095</v>
      </c>
      <c r="D39" s="43" t="s">
        <v>202</v>
      </c>
      <c r="E39" s="44">
        <f t="shared" si="0"/>
        <v>1401000</v>
      </c>
      <c r="F39" s="44">
        <v>1000</v>
      </c>
      <c r="G39" s="44">
        <v>0</v>
      </c>
      <c r="H39" s="44">
        <f>G39</f>
        <v>0</v>
      </c>
      <c r="I39" s="44">
        <v>0</v>
      </c>
      <c r="J39" s="45" t="s">
        <v>100</v>
      </c>
      <c r="K39" s="44">
        <v>0</v>
      </c>
      <c r="L39" s="44">
        <v>1400000</v>
      </c>
      <c r="M39" s="44">
        <v>0</v>
      </c>
      <c r="N39" s="44">
        <v>0</v>
      </c>
      <c r="O39" s="46" t="s">
        <v>101</v>
      </c>
    </row>
    <row r="40" spans="1:15" ht="63.75">
      <c r="A40" s="41">
        <v>23</v>
      </c>
      <c r="B40" s="42" t="s">
        <v>98</v>
      </c>
      <c r="C40" s="41">
        <v>90095</v>
      </c>
      <c r="D40" s="43" t="s">
        <v>113</v>
      </c>
      <c r="E40" s="44">
        <f t="shared" si="0"/>
        <v>3380000</v>
      </c>
      <c r="F40" s="44">
        <v>80000</v>
      </c>
      <c r="G40" s="44">
        <v>800000</v>
      </c>
      <c r="H40" s="44">
        <v>50000</v>
      </c>
      <c r="I40" s="44">
        <v>750000</v>
      </c>
      <c r="J40" s="45" t="s">
        <v>100</v>
      </c>
      <c r="K40" s="44">
        <v>0</v>
      </c>
      <c r="L40" s="44">
        <v>2500000</v>
      </c>
      <c r="M40" s="44">
        <v>0</v>
      </c>
      <c r="N40" s="44">
        <v>0</v>
      </c>
      <c r="O40" s="46" t="s">
        <v>101</v>
      </c>
    </row>
    <row r="41" spans="1:15" s="56" customFormat="1" ht="51">
      <c r="A41" s="123" t="s">
        <v>110</v>
      </c>
      <c r="B41" s="123"/>
      <c r="C41" s="123"/>
      <c r="D41" s="123"/>
      <c r="E41" s="48">
        <f>E40+E39+E38</f>
        <v>5091000</v>
      </c>
      <c r="F41" s="48">
        <f>F40+F39+F38</f>
        <v>81000</v>
      </c>
      <c r="G41" s="48">
        <f>G40+G39+G38</f>
        <v>810000</v>
      </c>
      <c r="H41" s="48">
        <f>H40+H39+H38</f>
        <v>60000</v>
      </c>
      <c r="I41" s="48">
        <f>I40+I39+I38</f>
        <v>750000</v>
      </c>
      <c r="J41" s="55" t="s">
        <v>100</v>
      </c>
      <c r="K41" s="48">
        <f>K40+K39</f>
        <v>0</v>
      </c>
      <c r="L41" s="48">
        <f>L40+L39+L38</f>
        <v>4200000</v>
      </c>
      <c r="M41" s="48">
        <f>M40+M39</f>
        <v>0</v>
      </c>
      <c r="N41" s="48">
        <f>N40+N39</f>
        <v>0</v>
      </c>
      <c r="O41" s="52" t="s">
        <v>103</v>
      </c>
    </row>
    <row r="42" spans="1:15" s="57" customFormat="1" ht="63.75">
      <c r="A42" s="46">
        <v>24</v>
      </c>
      <c r="B42" s="46">
        <v>921</v>
      </c>
      <c r="C42" s="46">
        <v>92109</v>
      </c>
      <c r="D42" s="47" t="s">
        <v>207</v>
      </c>
      <c r="E42" s="44">
        <f>F42+G42+L42+N42+M42</f>
        <v>30000</v>
      </c>
      <c r="F42" s="44">
        <v>0</v>
      </c>
      <c r="G42" s="44">
        <f>H42+I42</f>
        <v>1000</v>
      </c>
      <c r="H42" s="44">
        <v>1000</v>
      </c>
      <c r="I42" s="44">
        <v>0</v>
      </c>
      <c r="J42" s="45" t="s">
        <v>100</v>
      </c>
      <c r="K42" s="44">
        <v>0</v>
      </c>
      <c r="L42" s="44">
        <v>29000</v>
      </c>
      <c r="M42" s="44">
        <v>0</v>
      </c>
      <c r="N42" s="44">
        <v>0</v>
      </c>
      <c r="O42" s="46" t="s">
        <v>101</v>
      </c>
    </row>
    <row r="43" spans="1:15" ht="89.25">
      <c r="A43" s="46">
        <v>25</v>
      </c>
      <c r="B43" s="46">
        <v>921</v>
      </c>
      <c r="C43" s="46">
        <v>92120</v>
      </c>
      <c r="D43" s="47" t="s">
        <v>190</v>
      </c>
      <c r="E43" s="44">
        <f>F43+G43+L43+N43+M43</f>
        <v>5338500</v>
      </c>
      <c r="F43" s="44">
        <f>30500+108000</f>
        <v>138500</v>
      </c>
      <c r="G43" s="44">
        <f>H43+I43</f>
        <v>100000</v>
      </c>
      <c r="H43" s="44">
        <v>50000</v>
      </c>
      <c r="I43" s="44">
        <v>50000</v>
      </c>
      <c r="J43" s="45" t="s">
        <v>100</v>
      </c>
      <c r="K43" s="44">
        <v>0</v>
      </c>
      <c r="L43" s="44">
        <f>2000000+100000</f>
        <v>2100000</v>
      </c>
      <c r="M43" s="44">
        <v>3000000</v>
      </c>
      <c r="N43" s="44">
        <v>0</v>
      </c>
      <c r="O43" s="46" t="s">
        <v>101</v>
      </c>
    </row>
    <row r="44" spans="1:15" ht="51">
      <c r="A44" s="123" t="s">
        <v>146</v>
      </c>
      <c r="B44" s="123"/>
      <c r="C44" s="123"/>
      <c r="D44" s="123"/>
      <c r="E44" s="48">
        <f>E43+E42</f>
        <v>5368500</v>
      </c>
      <c r="F44" s="48">
        <f>F43+F42</f>
        <v>138500</v>
      </c>
      <c r="G44" s="48">
        <f>G43+G42</f>
        <v>101000</v>
      </c>
      <c r="H44" s="48">
        <f>H43+H42</f>
        <v>51000</v>
      </c>
      <c r="I44" s="48">
        <f>I43+I42</f>
        <v>50000</v>
      </c>
      <c r="J44" s="45" t="s">
        <v>100</v>
      </c>
      <c r="K44" s="48">
        <f>K43</f>
        <v>0</v>
      </c>
      <c r="L44" s="48">
        <f>L43+L42</f>
        <v>2129000</v>
      </c>
      <c r="M44" s="48">
        <f>M43</f>
        <v>3000000</v>
      </c>
      <c r="N44" s="48">
        <f>N43</f>
        <v>0</v>
      </c>
      <c r="O44" s="48" t="s">
        <v>103</v>
      </c>
    </row>
    <row r="45" spans="1:15" ht="204">
      <c r="A45" s="46">
        <v>26</v>
      </c>
      <c r="B45" s="47">
        <v>926</v>
      </c>
      <c r="C45" s="47">
        <v>92601</v>
      </c>
      <c r="D45" s="47" t="s">
        <v>191</v>
      </c>
      <c r="E45" s="44">
        <f t="shared" si="0"/>
        <v>1000000</v>
      </c>
      <c r="F45" s="44">
        <v>50000</v>
      </c>
      <c r="G45" s="44">
        <v>0</v>
      </c>
      <c r="H45" s="44">
        <v>0</v>
      </c>
      <c r="I45" s="44">
        <v>0</v>
      </c>
      <c r="J45" s="45" t="s">
        <v>100</v>
      </c>
      <c r="K45" s="44">
        <v>0</v>
      </c>
      <c r="L45" s="44">
        <v>950000</v>
      </c>
      <c r="M45" s="44">
        <v>0</v>
      </c>
      <c r="N45" s="44">
        <v>0</v>
      </c>
      <c r="O45" s="46" t="s">
        <v>101</v>
      </c>
    </row>
    <row r="46" spans="1:15" ht="51">
      <c r="A46" s="46">
        <v>27</v>
      </c>
      <c r="B46" s="47">
        <v>926</v>
      </c>
      <c r="C46" s="47">
        <v>92604</v>
      </c>
      <c r="D46" s="47" t="s">
        <v>147</v>
      </c>
      <c r="E46" s="44">
        <f t="shared" si="0"/>
        <v>6270293</v>
      </c>
      <c r="F46" s="44">
        <v>40293</v>
      </c>
      <c r="G46" s="44">
        <f>H46+I46</f>
        <v>130000</v>
      </c>
      <c r="H46" s="44">
        <v>130000</v>
      </c>
      <c r="I46" s="44">
        <v>0</v>
      </c>
      <c r="J46" s="45" t="s">
        <v>100</v>
      </c>
      <c r="K46" s="44">
        <v>0</v>
      </c>
      <c r="L46" s="44">
        <v>6100000</v>
      </c>
      <c r="M46" s="44">
        <v>0</v>
      </c>
      <c r="N46" s="44">
        <v>0</v>
      </c>
      <c r="O46" s="46" t="s">
        <v>101</v>
      </c>
    </row>
    <row r="47" spans="1:15" ht="12.75">
      <c r="A47" s="123" t="s">
        <v>111</v>
      </c>
      <c r="B47" s="123"/>
      <c r="C47" s="123"/>
      <c r="D47" s="123"/>
      <c r="E47" s="48">
        <f>E45+E46</f>
        <v>7270293</v>
      </c>
      <c r="F47" s="48">
        <f>F45+F46</f>
        <v>90293</v>
      </c>
      <c r="G47" s="48">
        <f>G45+G46</f>
        <v>130000</v>
      </c>
      <c r="H47" s="48">
        <f>H45+H46</f>
        <v>130000</v>
      </c>
      <c r="I47" s="48">
        <f>I45+I46</f>
        <v>0</v>
      </c>
      <c r="J47" s="48" t="s">
        <v>103</v>
      </c>
      <c r="K47" s="48">
        <f>K45+K46</f>
        <v>0</v>
      </c>
      <c r="L47" s="48">
        <f>L45+L46</f>
        <v>7050000</v>
      </c>
      <c r="M47" s="48">
        <f>M45+M46</f>
        <v>0</v>
      </c>
      <c r="N47" s="48">
        <f>N45+N46</f>
        <v>0</v>
      </c>
      <c r="O47" s="52" t="s">
        <v>103</v>
      </c>
    </row>
    <row r="48" spans="1:15" ht="51">
      <c r="A48" s="124" t="s">
        <v>47</v>
      </c>
      <c r="B48" s="124"/>
      <c r="C48" s="124"/>
      <c r="D48" s="124"/>
      <c r="E48" s="53">
        <f>E47+E41+E37+E32+E30+E16+E44+E34</f>
        <v>52025444</v>
      </c>
      <c r="F48" s="53">
        <f>F47+F41+F37+F32+F30+F16+F44+F34</f>
        <v>4196862</v>
      </c>
      <c r="G48" s="53">
        <f>G47+G41+G37+G32+G30+G16+G44+G34</f>
        <v>11786147</v>
      </c>
      <c r="H48" s="53">
        <f>H47+H41+H37+H32+H30+H16+H44+H34</f>
        <v>2035918</v>
      </c>
      <c r="I48" s="53">
        <f>I47+I41+I37+I32+I30+I16+I44+I34</f>
        <v>4890872</v>
      </c>
      <c r="J48" s="55" t="s">
        <v>236</v>
      </c>
      <c r="K48" s="53">
        <f>K47+K41+K37+K32+K30+K16+K44+K34</f>
        <v>3757266</v>
      </c>
      <c r="L48" s="53">
        <f>L47+L41+L37+L32+L30+L16+L44+L34</f>
        <v>29992435</v>
      </c>
      <c r="M48" s="53">
        <f>M47+M41+M37+M32+M30+M16+M44+M34</f>
        <v>6050000</v>
      </c>
      <c r="N48" s="53">
        <f>N47+N41+N37+N32+N30+N16+N44+N34</f>
        <v>0</v>
      </c>
      <c r="O48" s="53" t="s">
        <v>103</v>
      </c>
    </row>
    <row r="49" spans="5:9" ht="12.75">
      <c r="E49" s="40"/>
      <c r="F49" s="40"/>
      <c r="G49" s="40"/>
      <c r="H49" s="40"/>
      <c r="I49" s="40"/>
    </row>
    <row r="50" spans="5:9" ht="12.75">
      <c r="E50" s="40"/>
      <c r="G50" s="40"/>
      <c r="H50" s="40"/>
      <c r="I50" s="40"/>
    </row>
    <row r="51" spans="5:15" ht="12.75">
      <c r="E51" s="40"/>
      <c r="G51" s="40"/>
      <c r="H51" s="40"/>
      <c r="I51" s="40"/>
      <c r="O51" s="1" t="s">
        <v>241</v>
      </c>
    </row>
    <row r="52" spans="8:15" ht="12.75">
      <c r="H52" s="40"/>
      <c r="I52" s="40"/>
      <c r="O52" s="1" t="s">
        <v>242</v>
      </c>
    </row>
    <row r="53" spans="5:13" ht="12.75">
      <c r="E53" s="40"/>
      <c r="F53" s="40"/>
      <c r="G53" s="40"/>
      <c r="H53" s="40"/>
      <c r="I53" s="40"/>
      <c r="J53" s="40"/>
      <c r="K53" s="40"/>
      <c r="L53" s="40"/>
      <c r="M53" s="40"/>
    </row>
    <row r="54" spans="5:15" ht="12.75">
      <c r="E54" s="40"/>
      <c r="G54" s="40"/>
      <c r="L54" s="40"/>
      <c r="O54" s="1" t="s">
        <v>243</v>
      </c>
    </row>
    <row r="55" ht="12.75">
      <c r="H55" s="40"/>
    </row>
    <row r="56" ht="12.75">
      <c r="G56" s="40"/>
    </row>
    <row r="57" spans="7:9" ht="12.75">
      <c r="G57" s="40"/>
      <c r="I57" s="40"/>
    </row>
    <row r="58" ht="12.75">
      <c r="G58" s="40"/>
    </row>
    <row r="59" ht="12.75">
      <c r="G59" s="40"/>
    </row>
    <row r="61" ht="12.75">
      <c r="G61" s="40"/>
    </row>
    <row r="62" ht="12.75">
      <c r="G62" s="40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52" t="s">
        <v>10</v>
      </c>
      <c r="F1" s="152"/>
    </row>
    <row r="2" spans="5:6" ht="12.75">
      <c r="E2" s="152"/>
      <c r="F2" s="152"/>
    </row>
    <row r="3" spans="5:6" ht="12.75">
      <c r="E3" s="152"/>
      <c r="F3" s="152"/>
    </row>
    <row r="4" spans="5:6" ht="12.75">
      <c r="E4" s="152"/>
      <c r="F4" s="152"/>
    </row>
    <row r="6" spans="1:6" ht="24" customHeight="1">
      <c r="A6" s="173" t="s">
        <v>195</v>
      </c>
      <c r="B6" s="173"/>
      <c r="C6" s="173"/>
      <c r="D6" s="173"/>
      <c r="E6" s="173"/>
      <c r="F6" s="173"/>
    </row>
    <row r="7" spans="4:5" ht="19.5" customHeight="1">
      <c r="D7" s="1"/>
      <c r="E7" s="3" t="s">
        <v>30</v>
      </c>
    </row>
    <row r="8" spans="1:6" ht="19.5" customHeight="1">
      <c r="A8" s="16" t="s">
        <v>31</v>
      </c>
      <c r="B8" s="16" t="s">
        <v>18</v>
      </c>
      <c r="C8" s="16" t="s">
        <v>19</v>
      </c>
      <c r="D8" s="16" t="s">
        <v>58</v>
      </c>
      <c r="E8" s="16" t="s">
        <v>87</v>
      </c>
      <c r="F8" s="16" t="s">
        <v>86</v>
      </c>
    </row>
    <row r="9" spans="1:6" s="37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37" customFormat="1" ht="27.75" customHeight="1">
      <c r="A10" s="36">
        <v>1</v>
      </c>
      <c r="B10" s="78" t="s">
        <v>88</v>
      </c>
      <c r="C10" s="78" t="s">
        <v>128</v>
      </c>
      <c r="D10" s="62" t="s">
        <v>174</v>
      </c>
      <c r="E10" s="36" t="s">
        <v>175</v>
      </c>
      <c r="F10" s="61">
        <v>100000</v>
      </c>
    </row>
    <row r="11" spans="1:6" s="37" customFormat="1" ht="53.25" customHeight="1">
      <c r="A11" s="36">
        <v>2</v>
      </c>
      <c r="B11" s="78" t="s">
        <v>88</v>
      </c>
      <c r="C11" s="78" t="s">
        <v>128</v>
      </c>
      <c r="D11" s="62" t="s">
        <v>176</v>
      </c>
      <c r="E11" s="36" t="s">
        <v>175</v>
      </c>
      <c r="F11" s="61">
        <v>200000</v>
      </c>
    </row>
    <row r="12" spans="1:6" s="37" customFormat="1" ht="53.25" customHeight="1">
      <c r="A12" s="36">
        <v>3</v>
      </c>
      <c r="B12" s="78" t="s">
        <v>90</v>
      </c>
      <c r="C12" s="78" t="s">
        <v>95</v>
      </c>
      <c r="D12" s="62" t="s">
        <v>229</v>
      </c>
      <c r="E12" s="36" t="s">
        <v>230</v>
      </c>
      <c r="F12" s="61">
        <v>50000</v>
      </c>
    </row>
    <row r="13" spans="1:6" s="37" customFormat="1" ht="75.75" customHeight="1">
      <c r="A13" s="36">
        <v>4</v>
      </c>
      <c r="B13" s="78" t="s">
        <v>90</v>
      </c>
      <c r="C13" s="78" t="s">
        <v>228</v>
      </c>
      <c r="D13" s="62" t="s">
        <v>232</v>
      </c>
      <c r="E13" s="36" t="s">
        <v>233</v>
      </c>
      <c r="F13" s="61">
        <v>150179</v>
      </c>
    </row>
    <row r="14" spans="1:6" s="37" customFormat="1" ht="42" customHeight="1">
      <c r="A14" s="36">
        <v>5</v>
      </c>
      <c r="B14" s="78" t="s">
        <v>92</v>
      </c>
      <c r="C14" s="78" t="s">
        <v>96</v>
      </c>
      <c r="D14" s="62" t="s">
        <v>4</v>
      </c>
      <c r="E14" s="36" t="s">
        <v>122</v>
      </c>
      <c r="F14" s="61">
        <v>75000</v>
      </c>
    </row>
    <row r="15" spans="1:6" s="37" customFormat="1" ht="44.25" customHeight="1">
      <c r="A15" s="36">
        <v>6</v>
      </c>
      <c r="B15" s="78" t="s">
        <v>93</v>
      </c>
      <c r="C15" s="78" t="s">
        <v>97</v>
      </c>
      <c r="D15" s="62" t="s">
        <v>5</v>
      </c>
      <c r="E15" s="36" t="s">
        <v>6</v>
      </c>
      <c r="F15" s="61">
        <v>9000</v>
      </c>
    </row>
    <row r="16" spans="1:6" s="37" customFormat="1" ht="53.25" customHeight="1">
      <c r="A16" s="36">
        <v>7</v>
      </c>
      <c r="B16" s="36">
        <v>851</v>
      </c>
      <c r="C16" s="36">
        <v>85121</v>
      </c>
      <c r="D16" s="62" t="s">
        <v>203</v>
      </c>
      <c r="E16" s="85" t="s">
        <v>119</v>
      </c>
      <c r="F16" s="61">
        <v>20000</v>
      </c>
    </row>
    <row r="17" spans="1:7" ht="121.5" customHeight="1">
      <c r="A17" s="36">
        <v>8</v>
      </c>
      <c r="B17" s="101">
        <v>851</v>
      </c>
      <c r="C17" s="101">
        <v>85154</v>
      </c>
      <c r="D17" s="102" t="s">
        <v>11</v>
      </c>
      <c r="E17" s="101" t="s">
        <v>122</v>
      </c>
      <c r="F17" s="103">
        <v>50000</v>
      </c>
      <c r="G17" s="107"/>
    </row>
    <row r="18" spans="1:7" ht="121.5" customHeight="1">
      <c r="A18" s="36">
        <v>9</v>
      </c>
      <c r="B18" s="101">
        <v>851</v>
      </c>
      <c r="C18" s="101">
        <v>85154</v>
      </c>
      <c r="D18" s="102" t="s">
        <v>7</v>
      </c>
      <c r="E18" s="101" t="s">
        <v>122</v>
      </c>
      <c r="F18" s="103">
        <v>16000</v>
      </c>
      <c r="G18" s="104"/>
    </row>
    <row r="19" spans="1:7" ht="94.5" customHeight="1">
      <c r="A19" s="36">
        <v>10</v>
      </c>
      <c r="B19" s="101">
        <v>851</v>
      </c>
      <c r="C19" s="101">
        <v>85154</v>
      </c>
      <c r="D19" s="102" t="s">
        <v>12</v>
      </c>
      <c r="E19" s="101" t="s">
        <v>122</v>
      </c>
      <c r="F19" s="103">
        <v>4000</v>
      </c>
      <c r="G19" s="104"/>
    </row>
    <row r="20" spans="1:7" ht="66.75" customHeight="1">
      <c r="A20" s="36">
        <v>11</v>
      </c>
      <c r="B20" s="101">
        <v>926</v>
      </c>
      <c r="C20" s="101">
        <v>92601</v>
      </c>
      <c r="D20" s="102" t="s">
        <v>234</v>
      </c>
      <c r="E20" s="101" t="s">
        <v>233</v>
      </c>
      <c r="F20" s="103">
        <v>75000</v>
      </c>
      <c r="G20" s="104"/>
    </row>
    <row r="21" spans="1:7" ht="57" customHeight="1">
      <c r="A21" s="36">
        <v>12</v>
      </c>
      <c r="B21" s="101">
        <v>926</v>
      </c>
      <c r="C21" s="101">
        <v>92604</v>
      </c>
      <c r="D21" s="105" t="s">
        <v>129</v>
      </c>
      <c r="E21" s="101" t="s">
        <v>122</v>
      </c>
      <c r="F21" s="103">
        <v>170000</v>
      </c>
      <c r="G21" s="104"/>
    </row>
    <row r="22" spans="1:7" ht="54" customHeight="1">
      <c r="A22" s="36">
        <v>13</v>
      </c>
      <c r="B22" s="101">
        <v>926</v>
      </c>
      <c r="C22" s="101">
        <v>92604</v>
      </c>
      <c r="D22" s="105" t="s">
        <v>214</v>
      </c>
      <c r="E22" s="106" t="s">
        <v>117</v>
      </c>
      <c r="F22" s="103">
        <v>25000</v>
      </c>
      <c r="G22" s="104"/>
    </row>
    <row r="23" spans="1:6" ht="30" customHeight="1">
      <c r="A23" s="172" t="s">
        <v>47</v>
      </c>
      <c r="B23" s="172"/>
      <c r="C23" s="172"/>
      <c r="D23" s="172"/>
      <c r="E23" s="33"/>
      <c r="F23" s="59">
        <f>SUM(F10:F22)</f>
        <v>944179</v>
      </c>
    </row>
    <row r="24" ht="12.75">
      <c r="F24" s="63"/>
    </row>
    <row r="25" s="38" customFormat="1" ht="12.75"/>
    <row r="26" s="39" customFormat="1" ht="12.75"/>
  </sheetData>
  <mergeCells count="3">
    <mergeCell ref="A23:D23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B1">
      <selection activeCell="F29" sqref="F29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36" t="s">
        <v>225</v>
      </c>
      <c r="I1" s="136"/>
      <c r="J1" s="136"/>
    </row>
    <row r="2" spans="8:10" ht="12.75" customHeight="1">
      <c r="H2" s="136"/>
      <c r="I2" s="136"/>
      <c r="J2" s="136"/>
    </row>
    <row r="3" spans="8:10" ht="12.75">
      <c r="H3" s="136"/>
      <c r="I3" s="136"/>
      <c r="J3" s="136"/>
    </row>
    <row r="4" spans="8:10" ht="12.75">
      <c r="H4" s="136"/>
      <c r="I4" s="136"/>
      <c r="J4" s="136"/>
    </row>
    <row r="5" spans="8:10" ht="12.75">
      <c r="H5" s="136"/>
      <c r="I5" s="136"/>
      <c r="J5" s="136"/>
    </row>
    <row r="6" spans="1:10" ht="18">
      <c r="A6" s="128" t="s">
        <v>193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30</v>
      </c>
    </row>
    <row r="8" spans="1:10" s="10" customFormat="1" ht="19.5" customHeight="1">
      <c r="A8" s="134" t="s">
        <v>31</v>
      </c>
      <c r="B8" s="134" t="s">
        <v>18</v>
      </c>
      <c r="C8" s="134" t="s">
        <v>29</v>
      </c>
      <c r="D8" s="135" t="s">
        <v>51</v>
      </c>
      <c r="E8" s="135" t="s">
        <v>35</v>
      </c>
      <c r="F8" s="135"/>
      <c r="G8" s="135"/>
      <c r="H8" s="135"/>
      <c r="I8" s="135"/>
      <c r="J8" s="135" t="s">
        <v>33</v>
      </c>
    </row>
    <row r="9" spans="1:10" s="10" customFormat="1" ht="19.5" customHeight="1">
      <c r="A9" s="134"/>
      <c r="B9" s="134"/>
      <c r="C9" s="134"/>
      <c r="D9" s="135"/>
      <c r="E9" s="135" t="s">
        <v>158</v>
      </c>
      <c r="F9" s="135" t="s">
        <v>26</v>
      </c>
      <c r="G9" s="135"/>
      <c r="H9" s="135"/>
      <c r="I9" s="135"/>
      <c r="J9" s="135"/>
    </row>
    <row r="10" spans="1:10" s="10" customFormat="1" ht="29.25" customHeight="1">
      <c r="A10" s="134"/>
      <c r="B10" s="134"/>
      <c r="C10" s="134"/>
      <c r="D10" s="135"/>
      <c r="E10" s="135"/>
      <c r="F10" s="135" t="s">
        <v>48</v>
      </c>
      <c r="G10" s="135" t="s">
        <v>44</v>
      </c>
      <c r="H10" s="135" t="s">
        <v>50</v>
      </c>
      <c r="I10" s="135" t="s">
        <v>45</v>
      </c>
      <c r="J10" s="135"/>
    </row>
    <row r="11" spans="1:10" s="10" customFormat="1" ht="19.5" customHeight="1">
      <c r="A11" s="134"/>
      <c r="B11" s="134"/>
      <c r="C11" s="134"/>
      <c r="D11" s="135"/>
      <c r="E11" s="135"/>
      <c r="F11" s="135"/>
      <c r="G11" s="135"/>
      <c r="H11" s="135"/>
      <c r="I11" s="135"/>
      <c r="J11" s="135"/>
    </row>
    <row r="12" spans="1:10" s="10" customFormat="1" ht="19.5" customHeight="1">
      <c r="A12" s="134"/>
      <c r="B12" s="134"/>
      <c r="C12" s="134"/>
      <c r="D12" s="135"/>
      <c r="E12" s="135"/>
      <c r="F12" s="135"/>
      <c r="G12" s="135"/>
      <c r="H12" s="135"/>
      <c r="I12" s="135"/>
      <c r="J12" s="135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41">
        <v>1</v>
      </c>
      <c r="B14" s="41">
        <v>600</v>
      </c>
      <c r="C14" s="41">
        <v>60016</v>
      </c>
      <c r="D14" s="54" t="s">
        <v>151</v>
      </c>
      <c r="E14" s="51">
        <f>F14+G14</f>
        <v>84000</v>
      </c>
      <c r="F14" s="51">
        <f>100000-16000</f>
        <v>84000</v>
      </c>
      <c r="G14" s="44">
        <v>0</v>
      </c>
      <c r="H14" s="45" t="s">
        <v>34</v>
      </c>
      <c r="I14" s="41">
        <v>0</v>
      </c>
      <c r="J14" s="46" t="s">
        <v>101</v>
      </c>
    </row>
    <row r="15" spans="1:10" ht="60" customHeight="1">
      <c r="A15" s="41">
        <v>2</v>
      </c>
      <c r="B15" s="41">
        <v>600</v>
      </c>
      <c r="C15" s="41">
        <v>60016</v>
      </c>
      <c r="D15" s="54" t="s">
        <v>152</v>
      </c>
      <c r="E15" s="51">
        <f aca="true" t="shared" si="0" ref="E15:E36">F15+G15</f>
        <v>378000</v>
      </c>
      <c r="F15" s="51">
        <f>50000+42000</f>
        <v>92000</v>
      </c>
      <c r="G15" s="44">
        <f>250000+36000</f>
        <v>286000</v>
      </c>
      <c r="H15" s="45" t="s">
        <v>34</v>
      </c>
      <c r="I15" s="41">
        <v>0</v>
      </c>
      <c r="J15" s="46" t="s">
        <v>101</v>
      </c>
    </row>
    <row r="16" spans="1:10" ht="57.75" customHeight="1">
      <c r="A16" s="41">
        <v>3</v>
      </c>
      <c r="B16" s="41">
        <v>600</v>
      </c>
      <c r="C16" s="41">
        <v>60016</v>
      </c>
      <c r="D16" s="54" t="s">
        <v>157</v>
      </c>
      <c r="E16" s="51">
        <f t="shared" si="0"/>
        <v>396000</v>
      </c>
      <c r="F16" s="51">
        <f>50000+46000</f>
        <v>96000</v>
      </c>
      <c r="G16" s="44">
        <v>300000</v>
      </c>
      <c r="H16" s="45" t="s">
        <v>34</v>
      </c>
      <c r="I16" s="41">
        <v>0</v>
      </c>
      <c r="J16" s="46" t="s">
        <v>101</v>
      </c>
    </row>
    <row r="17" spans="1:10" ht="57.75" customHeight="1">
      <c r="A17" s="41">
        <v>4</v>
      </c>
      <c r="B17" s="41">
        <v>600</v>
      </c>
      <c r="C17" s="41">
        <v>60016</v>
      </c>
      <c r="D17" s="54" t="s">
        <v>173</v>
      </c>
      <c r="E17" s="51">
        <f t="shared" si="0"/>
        <v>63210</v>
      </c>
      <c r="F17" s="51">
        <f>10000-790</f>
        <v>9210</v>
      </c>
      <c r="G17" s="44">
        <f>90000-36000</f>
        <v>54000</v>
      </c>
      <c r="H17" s="45" t="s">
        <v>34</v>
      </c>
      <c r="I17" s="41">
        <v>0</v>
      </c>
      <c r="J17" s="46" t="s">
        <v>101</v>
      </c>
    </row>
    <row r="18" spans="1:10" ht="57.75" customHeight="1">
      <c r="A18" s="41">
        <v>5</v>
      </c>
      <c r="B18" s="41">
        <v>600</v>
      </c>
      <c r="C18" s="41">
        <v>60016</v>
      </c>
      <c r="D18" s="54" t="s">
        <v>153</v>
      </c>
      <c r="E18" s="51">
        <f t="shared" si="0"/>
        <v>220000</v>
      </c>
      <c r="F18" s="51">
        <v>20000</v>
      </c>
      <c r="G18" s="44">
        <v>200000</v>
      </c>
      <c r="H18" s="45" t="s">
        <v>34</v>
      </c>
      <c r="I18" s="41">
        <v>0</v>
      </c>
      <c r="J18" s="46" t="s">
        <v>101</v>
      </c>
    </row>
    <row r="19" spans="1:10" ht="57.75" customHeight="1">
      <c r="A19" s="41">
        <v>6</v>
      </c>
      <c r="B19" s="41">
        <v>600</v>
      </c>
      <c r="C19" s="41">
        <v>60016</v>
      </c>
      <c r="D19" s="54" t="s">
        <v>184</v>
      </c>
      <c r="E19" s="51">
        <f t="shared" si="0"/>
        <v>107500</v>
      </c>
      <c r="F19" s="51">
        <f>10000+7500</f>
        <v>17500</v>
      </c>
      <c r="G19" s="44">
        <v>90000</v>
      </c>
      <c r="H19" s="45" t="s">
        <v>34</v>
      </c>
      <c r="I19" s="41">
        <v>0</v>
      </c>
      <c r="J19" s="46" t="s">
        <v>101</v>
      </c>
    </row>
    <row r="20" spans="1:10" ht="57.75" customHeight="1">
      <c r="A20" s="41">
        <v>7</v>
      </c>
      <c r="B20" s="41">
        <v>600</v>
      </c>
      <c r="C20" s="41">
        <v>60016</v>
      </c>
      <c r="D20" s="54" t="s">
        <v>185</v>
      </c>
      <c r="E20" s="51">
        <f t="shared" si="0"/>
        <v>171500</v>
      </c>
      <c r="F20" s="51">
        <f>50000-28500+4100</f>
        <v>25600</v>
      </c>
      <c r="G20" s="44">
        <f>150000-4100</f>
        <v>145900</v>
      </c>
      <c r="H20" s="45" t="s">
        <v>34</v>
      </c>
      <c r="I20" s="41">
        <v>0</v>
      </c>
      <c r="J20" s="46" t="s">
        <v>101</v>
      </c>
    </row>
    <row r="21" spans="1:10" ht="57.75" customHeight="1">
      <c r="A21" s="41">
        <v>8</v>
      </c>
      <c r="B21" s="41">
        <v>600</v>
      </c>
      <c r="C21" s="41">
        <v>60016</v>
      </c>
      <c r="D21" s="54" t="s">
        <v>186</v>
      </c>
      <c r="E21" s="51">
        <f t="shared" si="0"/>
        <v>146500</v>
      </c>
      <c r="F21" s="51">
        <f>50000-3500</f>
        <v>46500</v>
      </c>
      <c r="G21" s="44">
        <v>100000</v>
      </c>
      <c r="H21" s="45" t="s">
        <v>34</v>
      </c>
      <c r="I21" s="41">
        <v>0</v>
      </c>
      <c r="J21" s="46" t="s">
        <v>101</v>
      </c>
    </row>
    <row r="22" spans="1:10" ht="57.75" customHeight="1">
      <c r="A22" s="41">
        <v>9</v>
      </c>
      <c r="B22" s="41">
        <v>600</v>
      </c>
      <c r="C22" s="41">
        <v>60016</v>
      </c>
      <c r="D22" s="54" t="s">
        <v>211</v>
      </c>
      <c r="E22" s="51">
        <f t="shared" si="0"/>
        <v>20000</v>
      </c>
      <c r="F22" s="51">
        <v>20000</v>
      </c>
      <c r="G22" s="44">
        <v>0</v>
      </c>
      <c r="H22" s="45" t="s">
        <v>34</v>
      </c>
      <c r="I22" s="41">
        <v>0</v>
      </c>
      <c r="J22" s="46" t="s">
        <v>101</v>
      </c>
    </row>
    <row r="23" spans="1:10" ht="57.75" customHeight="1">
      <c r="A23" s="41">
        <v>10</v>
      </c>
      <c r="B23" s="41">
        <v>600</v>
      </c>
      <c r="C23" s="41">
        <v>60016</v>
      </c>
      <c r="D23" s="54" t="s">
        <v>223</v>
      </c>
      <c r="E23" s="51">
        <f t="shared" si="0"/>
        <v>60000</v>
      </c>
      <c r="F23" s="51">
        <v>1000</v>
      </c>
      <c r="G23" s="44">
        <v>59000</v>
      </c>
      <c r="H23" s="45" t="s">
        <v>34</v>
      </c>
      <c r="I23" s="41">
        <v>0</v>
      </c>
      <c r="J23" s="46" t="s">
        <v>101</v>
      </c>
    </row>
    <row r="24" spans="1:10" s="56" customFormat="1" ht="57.75" customHeight="1">
      <c r="A24" s="130" t="s">
        <v>107</v>
      </c>
      <c r="B24" s="130"/>
      <c r="C24" s="130"/>
      <c r="D24" s="130"/>
      <c r="E24" s="58">
        <f>F24+G24</f>
        <v>1646710</v>
      </c>
      <c r="F24" s="58">
        <f>F18+F16+F15+F14+F17+F19+F20+F21+F22+F23</f>
        <v>411810</v>
      </c>
      <c r="G24" s="58">
        <f>G18+G16+G15+G14+G17+G19+G20+G21+G22+G23</f>
        <v>1234900</v>
      </c>
      <c r="H24" s="55" t="s">
        <v>34</v>
      </c>
      <c r="I24" s="52">
        <v>0</v>
      </c>
      <c r="J24" s="49" t="s">
        <v>103</v>
      </c>
    </row>
    <row r="25" spans="1:10" s="57" customFormat="1" ht="57.75" customHeight="1">
      <c r="A25" s="41">
        <v>11</v>
      </c>
      <c r="B25" s="41">
        <v>700</v>
      </c>
      <c r="C25" s="41">
        <v>70005</v>
      </c>
      <c r="D25" s="86" t="s">
        <v>125</v>
      </c>
      <c r="E25" s="51">
        <f t="shared" si="0"/>
        <v>100000</v>
      </c>
      <c r="F25" s="51">
        <v>100000</v>
      </c>
      <c r="G25" s="51">
        <v>0</v>
      </c>
      <c r="H25" s="45" t="s">
        <v>34</v>
      </c>
      <c r="I25" s="41">
        <v>0</v>
      </c>
      <c r="J25" s="46" t="s">
        <v>101</v>
      </c>
    </row>
    <row r="26" spans="1:10" s="57" customFormat="1" ht="57.75" customHeight="1">
      <c r="A26" s="41">
        <v>12</v>
      </c>
      <c r="B26" s="41">
        <v>700</v>
      </c>
      <c r="C26" s="41">
        <v>70095</v>
      </c>
      <c r="D26" s="47" t="s">
        <v>4</v>
      </c>
      <c r="E26" s="51">
        <f>F26</f>
        <v>75000</v>
      </c>
      <c r="F26" s="51">
        <v>75000</v>
      </c>
      <c r="G26" s="51">
        <v>0</v>
      </c>
      <c r="H26" s="45" t="s">
        <v>34</v>
      </c>
      <c r="I26" s="41">
        <v>0</v>
      </c>
      <c r="J26" s="46" t="s">
        <v>101</v>
      </c>
    </row>
    <row r="27" spans="1:10" s="56" customFormat="1" ht="57.75" customHeight="1">
      <c r="A27" s="130" t="s">
        <v>108</v>
      </c>
      <c r="B27" s="130"/>
      <c r="C27" s="130"/>
      <c r="D27" s="130"/>
      <c r="E27" s="58">
        <f>F27+G27</f>
        <v>175000</v>
      </c>
      <c r="F27" s="58">
        <f>F25+F26</f>
        <v>175000</v>
      </c>
      <c r="G27" s="58">
        <v>0</v>
      </c>
      <c r="H27" s="55" t="s">
        <v>34</v>
      </c>
      <c r="I27" s="52">
        <v>0</v>
      </c>
      <c r="J27" s="49" t="s">
        <v>103</v>
      </c>
    </row>
    <row r="28" spans="1:10" s="57" customFormat="1" ht="57.75" customHeight="1">
      <c r="A28" s="41">
        <v>13</v>
      </c>
      <c r="B28" s="41">
        <v>750</v>
      </c>
      <c r="C28" s="41">
        <v>75023</v>
      </c>
      <c r="D28" s="54" t="s">
        <v>114</v>
      </c>
      <c r="E28" s="51">
        <f>F28+G28</f>
        <v>23798</v>
      </c>
      <c r="F28" s="51">
        <f>100000-15000-59000-2202</f>
        <v>23798</v>
      </c>
      <c r="G28" s="51">
        <v>0</v>
      </c>
      <c r="H28" s="45" t="s">
        <v>34</v>
      </c>
      <c r="I28" s="41">
        <v>0</v>
      </c>
      <c r="J28" s="46" t="s">
        <v>101</v>
      </c>
    </row>
    <row r="29" spans="1:10" s="57" customFormat="1" ht="57.75" customHeight="1">
      <c r="A29" s="41">
        <v>14</v>
      </c>
      <c r="B29" s="41">
        <v>750</v>
      </c>
      <c r="C29" s="41">
        <v>75023</v>
      </c>
      <c r="D29" s="54" t="s">
        <v>206</v>
      </c>
      <c r="E29" s="51">
        <v>15000</v>
      </c>
      <c r="F29" s="51">
        <v>15000</v>
      </c>
      <c r="G29" s="51">
        <v>0</v>
      </c>
      <c r="H29" s="45" t="s">
        <v>34</v>
      </c>
      <c r="I29" s="41">
        <v>0</v>
      </c>
      <c r="J29" s="46" t="s">
        <v>101</v>
      </c>
    </row>
    <row r="30" spans="1:10" s="57" customFormat="1" ht="57.75" customHeight="1">
      <c r="A30" s="41">
        <v>15</v>
      </c>
      <c r="B30" s="41">
        <v>750</v>
      </c>
      <c r="C30" s="41">
        <v>75023</v>
      </c>
      <c r="D30" s="54" t="s">
        <v>196</v>
      </c>
      <c r="E30" s="51">
        <f>F30</f>
        <v>30000</v>
      </c>
      <c r="F30" s="51">
        <v>30000</v>
      </c>
      <c r="G30" s="51">
        <v>0</v>
      </c>
      <c r="H30" s="45" t="s">
        <v>34</v>
      </c>
      <c r="I30" s="41">
        <v>0</v>
      </c>
      <c r="J30" s="46" t="s">
        <v>101</v>
      </c>
    </row>
    <row r="31" spans="1:10" s="56" customFormat="1" ht="57.75" customHeight="1">
      <c r="A31" s="130" t="s">
        <v>115</v>
      </c>
      <c r="B31" s="130"/>
      <c r="C31" s="130"/>
      <c r="D31" s="130"/>
      <c r="E31" s="58">
        <f>F31+G31</f>
        <v>68798</v>
      </c>
      <c r="F31" s="58">
        <f>F28+F30+F29</f>
        <v>68798</v>
      </c>
      <c r="G31" s="58">
        <f>G28+G30</f>
        <v>0</v>
      </c>
      <c r="H31" s="55" t="s">
        <v>34</v>
      </c>
      <c r="I31" s="52">
        <v>0</v>
      </c>
      <c r="J31" s="49" t="s">
        <v>103</v>
      </c>
    </row>
    <row r="32" spans="1:10" s="57" customFormat="1" ht="57.75" customHeight="1">
      <c r="A32" s="41">
        <v>16</v>
      </c>
      <c r="B32" s="41">
        <v>853</v>
      </c>
      <c r="C32" s="41">
        <v>85395</v>
      </c>
      <c r="D32" s="47" t="s">
        <v>208</v>
      </c>
      <c r="E32" s="51">
        <f>F32+G32+I32</f>
        <v>12500</v>
      </c>
      <c r="F32" s="51"/>
      <c r="G32" s="51">
        <v>0</v>
      </c>
      <c r="H32" s="45" t="s">
        <v>34</v>
      </c>
      <c r="I32" s="44">
        <v>12500</v>
      </c>
      <c r="J32" s="46" t="s">
        <v>210</v>
      </c>
    </row>
    <row r="33" spans="1:10" s="56" customFormat="1" ht="57.75" customHeight="1">
      <c r="A33" s="131" t="s">
        <v>209</v>
      </c>
      <c r="B33" s="132"/>
      <c r="C33" s="132"/>
      <c r="D33" s="133"/>
      <c r="E33" s="58">
        <f>E32</f>
        <v>12500</v>
      </c>
      <c r="F33" s="58">
        <f>F32</f>
        <v>0</v>
      </c>
      <c r="G33" s="58">
        <f>G32</f>
        <v>0</v>
      </c>
      <c r="H33" s="55" t="str">
        <f>H32</f>
        <v>A.      
B.
C.
D. </v>
      </c>
      <c r="I33" s="48">
        <f>I32</f>
        <v>12500</v>
      </c>
      <c r="J33" s="49" t="s">
        <v>205</v>
      </c>
    </row>
    <row r="34" spans="1:10" ht="54.75" customHeight="1">
      <c r="A34" s="41">
        <v>17</v>
      </c>
      <c r="B34" s="41">
        <v>900</v>
      </c>
      <c r="C34" s="41">
        <v>90015</v>
      </c>
      <c r="D34" s="54" t="s">
        <v>155</v>
      </c>
      <c r="E34" s="51">
        <f t="shared" si="0"/>
        <v>145000</v>
      </c>
      <c r="F34" s="44">
        <v>50000</v>
      </c>
      <c r="G34" s="44">
        <f>150000-55000</f>
        <v>95000</v>
      </c>
      <c r="H34" s="45" t="s">
        <v>34</v>
      </c>
      <c r="I34" s="41">
        <v>0</v>
      </c>
      <c r="J34" s="46" t="s">
        <v>101</v>
      </c>
    </row>
    <row r="35" spans="1:10" s="56" customFormat="1" ht="54.75" customHeight="1">
      <c r="A35" s="130" t="s">
        <v>110</v>
      </c>
      <c r="B35" s="130"/>
      <c r="C35" s="130"/>
      <c r="D35" s="130"/>
      <c r="E35" s="58">
        <f t="shared" si="0"/>
        <v>145000</v>
      </c>
      <c r="F35" s="48">
        <f>F34</f>
        <v>50000</v>
      </c>
      <c r="G35" s="48">
        <f>G34</f>
        <v>95000</v>
      </c>
      <c r="H35" s="55" t="s">
        <v>156</v>
      </c>
      <c r="I35" s="52">
        <v>0</v>
      </c>
      <c r="J35" s="49" t="s">
        <v>103</v>
      </c>
    </row>
    <row r="36" spans="1:10" s="57" customFormat="1" ht="54.75" customHeight="1">
      <c r="A36" s="41">
        <v>18</v>
      </c>
      <c r="B36" s="41">
        <v>921</v>
      </c>
      <c r="C36" s="41">
        <v>92109</v>
      </c>
      <c r="D36" s="47" t="s">
        <v>154</v>
      </c>
      <c r="E36" s="51">
        <f t="shared" si="0"/>
        <v>97000</v>
      </c>
      <c r="F36" s="44">
        <f>35000+62000</f>
        <v>97000</v>
      </c>
      <c r="G36" s="44">
        <v>0</v>
      </c>
      <c r="H36" s="45" t="s">
        <v>34</v>
      </c>
      <c r="I36" s="41">
        <v>0</v>
      </c>
      <c r="J36" s="46" t="s">
        <v>101</v>
      </c>
    </row>
    <row r="37" spans="1:10" s="56" customFormat="1" ht="54.75" customHeight="1">
      <c r="A37" s="130" t="s">
        <v>146</v>
      </c>
      <c r="B37" s="130"/>
      <c r="C37" s="130"/>
      <c r="D37" s="130"/>
      <c r="E37" s="58">
        <f>F37+G37</f>
        <v>97000</v>
      </c>
      <c r="F37" s="48">
        <f>F36</f>
        <v>97000</v>
      </c>
      <c r="G37" s="48">
        <f>G36</f>
        <v>0</v>
      </c>
      <c r="H37" s="55" t="s">
        <v>156</v>
      </c>
      <c r="I37" s="52">
        <v>0</v>
      </c>
      <c r="J37" s="49" t="s">
        <v>103</v>
      </c>
    </row>
    <row r="38" spans="1:10" s="56" customFormat="1" ht="66.75" customHeight="1">
      <c r="A38" s="130" t="s">
        <v>47</v>
      </c>
      <c r="B38" s="130"/>
      <c r="C38" s="130"/>
      <c r="D38" s="130"/>
      <c r="E38" s="58">
        <f>F38+G38+I38</f>
        <v>2145008</v>
      </c>
      <c r="F38" s="48">
        <f>F37+F35+F31+F27+F24+F33</f>
        <v>802608</v>
      </c>
      <c r="G38" s="48">
        <f>G37+G35+G31+G27+G24+G33</f>
        <v>1329900</v>
      </c>
      <c r="H38" s="55" t="str">
        <f>H33</f>
        <v>A.      
B.
C.
D. </v>
      </c>
      <c r="I38" s="48">
        <f>I33</f>
        <v>12500</v>
      </c>
      <c r="J38" s="52" t="s">
        <v>103</v>
      </c>
    </row>
    <row r="39" ht="12.75">
      <c r="E39" s="40"/>
    </row>
    <row r="40" spans="5:7" ht="12.75">
      <c r="E40" s="40"/>
      <c r="G40" s="40"/>
    </row>
    <row r="41" ht="12.75">
      <c r="E41" s="40"/>
    </row>
    <row r="42" spans="5:7" ht="12.75">
      <c r="E42" s="40"/>
      <c r="G42" s="40"/>
    </row>
    <row r="44" ht="12.75">
      <c r="F44" s="40"/>
    </row>
    <row r="45" spans="5:7" ht="12.75">
      <c r="E45" s="40"/>
      <c r="F45" s="40"/>
      <c r="G45" s="40"/>
    </row>
    <row r="47" ht="12.75">
      <c r="G47" s="40"/>
    </row>
  </sheetData>
  <sheetProtection/>
  <mergeCells count="21">
    <mergeCell ref="H1:J5"/>
    <mergeCell ref="F10:F12"/>
    <mergeCell ref="G10:G12"/>
    <mergeCell ref="H10:H12"/>
    <mergeCell ref="I10:I12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7:D37"/>
    <mergeCell ref="A24:D24"/>
    <mergeCell ref="A31:D31"/>
    <mergeCell ref="A35:D35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7">
      <selection activeCell="B23" sqref="B23"/>
    </sheetView>
  </sheetViews>
  <sheetFormatPr defaultColWidth="9.00390625" defaultRowHeight="12.75"/>
  <cols>
    <col min="1" max="1" width="4.625" style="21" customWidth="1"/>
    <col min="2" max="2" width="43.25390625" style="21" customWidth="1"/>
    <col min="3" max="3" width="9.875" style="21" customWidth="1"/>
    <col min="4" max="16384" width="9.125" style="21" customWidth="1"/>
  </cols>
  <sheetData>
    <row r="1" spans="3:6" s="20" customFormat="1" ht="12">
      <c r="C1" s="137" t="s">
        <v>197</v>
      </c>
      <c r="D1" s="137"/>
      <c r="E1" s="137"/>
      <c r="F1" s="137"/>
    </row>
    <row r="2" spans="3:6" s="20" customFormat="1" ht="12">
      <c r="C2" s="137"/>
      <c r="D2" s="137"/>
      <c r="E2" s="137"/>
      <c r="F2" s="137"/>
    </row>
    <row r="3" spans="3:6" s="20" customFormat="1" ht="12">
      <c r="C3" s="137"/>
      <c r="D3" s="137"/>
      <c r="E3" s="137"/>
      <c r="F3" s="137"/>
    </row>
    <row r="4" spans="3:6" s="20" customFormat="1" ht="12">
      <c r="C4" s="137"/>
      <c r="D4" s="137"/>
      <c r="E4" s="137"/>
      <c r="F4" s="137"/>
    </row>
    <row r="5" ht="15.75">
      <c r="C5" s="22"/>
    </row>
    <row r="7" spans="1:6" ht="25.5" customHeight="1">
      <c r="A7" s="139" t="s">
        <v>160</v>
      </c>
      <c r="B7" s="139"/>
      <c r="C7" s="139"/>
      <c r="D7" s="139"/>
      <c r="E7" s="139"/>
      <c r="F7" s="139"/>
    </row>
    <row r="8" spans="1:6" ht="25.5" customHeight="1">
      <c r="A8" s="23"/>
      <c r="B8" s="23"/>
      <c r="C8" s="23"/>
      <c r="D8" s="23"/>
      <c r="E8" s="23"/>
      <c r="F8" s="23"/>
    </row>
    <row r="9" ht="12.75">
      <c r="F9" s="24" t="s">
        <v>65</v>
      </c>
    </row>
    <row r="10" spans="1:6" ht="35.25" customHeight="1">
      <c r="A10" s="138" t="s">
        <v>66</v>
      </c>
      <c r="B10" s="138" t="s">
        <v>67</v>
      </c>
      <c r="C10" s="138" t="s">
        <v>161</v>
      </c>
      <c r="D10" s="138" t="s">
        <v>164</v>
      </c>
      <c r="E10" s="138"/>
      <c r="F10" s="138"/>
    </row>
    <row r="11" spans="1:6" ht="27.75" customHeight="1">
      <c r="A11" s="138"/>
      <c r="B11" s="138"/>
      <c r="C11" s="138"/>
      <c r="D11" s="25" t="s">
        <v>68</v>
      </c>
      <c r="E11" s="25" t="s">
        <v>162</v>
      </c>
      <c r="F11" s="25" t="s">
        <v>163</v>
      </c>
    </row>
    <row r="12" spans="1:6" ht="12.75">
      <c r="A12" s="26" t="s">
        <v>69</v>
      </c>
      <c r="B12" s="27" t="s">
        <v>70</v>
      </c>
      <c r="C12" s="82" t="e">
        <f>C13+C14+C15</f>
        <v>#REF!</v>
      </c>
      <c r="D12" s="27">
        <v>0</v>
      </c>
      <c r="E12" s="27">
        <v>0</v>
      </c>
      <c r="F12" s="27">
        <v>0</v>
      </c>
    </row>
    <row r="13" spans="1:6" ht="12.75">
      <c r="A13" s="27"/>
      <c r="B13" s="28" t="s">
        <v>71</v>
      </c>
      <c r="C13" s="82" t="e">
        <f>#REF!</f>
        <v>#REF!</v>
      </c>
      <c r="D13" s="27"/>
      <c r="E13" s="27"/>
      <c r="F13" s="27"/>
    </row>
    <row r="14" spans="1:6" ht="12.75">
      <c r="A14" s="27"/>
      <c r="B14" s="28" t="s">
        <v>72</v>
      </c>
      <c r="C14" s="82" t="e">
        <f>#REF!</f>
        <v>#REF!</v>
      </c>
      <c r="D14" s="27"/>
      <c r="E14" s="27"/>
      <c r="F14" s="27"/>
    </row>
    <row r="15" spans="1:6" ht="12.75">
      <c r="A15" s="29"/>
      <c r="B15" s="30" t="s">
        <v>73</v>
      </c>
      <c r="C15" s="83" t="e">
        <f>#REF!</f>
        <v>#REF!</v>
      </c>
      <c r="D15" s="29"/>
      <c r="E15" s="29"/>
      <c r="F15" s="29"/>
    </row>
    <row r="16" spans="1:6" ht="12.75">
      <c r="A16" s="26" t="s">
        <v>74</v>
      </c>
      <c r="B16" s="27" t="s">
        <v>75</v>
      </c>
      <c r="C16" s="82">
        <f>6!J27</f>
        <v>5769766</v>
      </c>
      <c r="D16" s="82">
        <f>6!K27</f>
        <v>3720000</v>
      </c>
      <c r="E16" s="27">
        <v>0</v>
      </c>
      <c r="F16" s="82">
        <f>D16+E16</f>
        <v>3720000</v>
      </c>
    </row>
    <row r="17" spans="1:6" ht="12.75">
      <c r="A17" s="27"/>
      <c r="B17" s="28" t="s">
        <v>71</v>
      </c>
      <c r="C17" s="82">
        <f>6!J28</f>
        <v>2000000</v>
      </c>
      <c r="D17" s="82">
        <f>6!K28</f>
        <v>1560000</v>
      </c>
      <c r="E17" s="27"/>
      <c r="F17" s="82">
        <f aca="true" t="shared" si="0" ref="F17:F23">D17+E17</f>
        <v>1560000</v>
      </c>
    </row>
    <row r="18" spans="1:6" ht="12.75">
      <c r="A18" s="27"/>
      <c r="B18" s="28" t="s">
        <v>72</v>
      </c>
      <c r="C18" s="82">
        <f>6!J29</f>
        <v>629</v>
      </c>
      <c r="D18" s="82">
        <f>6!K29</f>
        <v>0</v>
      </c>
      <c r="E18" s="27"/>
      <c r="F18" s="82">
        <f t="shared" si="0"/>
        <v>0</v>
      </c>
    </row>
    <row r="19" spans="1:6" ht="12.75">
      <c r="A19" s="29"/>
      <c r="B19" s="30" t="s">
        <v>73</v>
      </c>
      <c r="C19" s="83">
        <f>6!J30</f>
        <v>3769137</v>
      </c>
      <c r="D19" s="83">
        <f>6!K30</f>
        <v>2160000</v>
      </c>
      <c r="E19" s="29"/>
      <c r="F19" s="83">
        <f t="shared" si="0"/>
        <v>2160000</v>
      </c>
    </row>
    <row r="20" spans="1:7" ht="12.75">
      <c r="A20" s="26"/>
      <c r="B20" s="27" t="s">
        <v>76</v>
      </c>
      <c r="C20" s="82" t="e">
        <f aca="true" t="shared" si="1" ref="C20:D23">C16+C12</f>
        <v>#REF!</v>
      </c>
      <c r="D20" s="82">
        <f t="shared" si="1"/>
        <v>3720000</v>
      </c>
      <c r="E20" s="27">
        <v>0</v>
      </c>
      <c r="F20" s="82">
        <f t="shared" si="0"/>
        <v>3720000</v>
      </c>
      <c r="G20" s="92"/>
    </row>
    <row r="21" spans="1:6" ht="12.75">
      <c r="A21" s="27"/>
      <c r="B21" s="28" t="s">
        <v>71</v>
      </c>
      <c r="C21" s="82" t="e">
        <f t="shared" si="1"/>
        <v>#REF!</v>
      </c>
      <c r="D21" s="82">
        <f t="shared" si="1"/>
        <v>1560000</v>
      </c>
      <c r="E21" s="27"/>
      <c r="F21" s="82">
        <f t="shared" si="0"/>
        <v>1560000</v>
      </c>
    </row>
    <row r="22" spans="1:6" ht="12.75">
      <c r="A22" s="27"/>
      <c r="B22" s="28" t="s">
        <v>72</v>
      </c>
      <c r="C22" s="82" t="e">
        <f t="shared" si="1"/>
        <v>#REF!</v>
      </c>
      <c r="D22" s="82">
        <f t="shared" si="1"/>
        <v>0</v>
      </c>
      <c r="E22" s="27"/>
      <c r="F22" s="82">
        <f t="shared" si="0"/>
        <v>0</v>
      </c>
    </row>
    <row r="23" spans="1:6" ht="12.75">
      <c r="A23" s="29"/>
      <c r="B23" s="30" t="s">
        <v>73</v>
      </c>
      <c r="C23" s="83" t="e">
        <f t="shared" si="1"/>
        <v>#REF!</v>
      </c>
      <c r="D23" s="83">
        <f t="shared" si="1"/>
        <v>2160000</v>
      </c>
      <c r="E23" s="29"/>
      <c r="F23" s="83">
        <f t="shared" si="0"/>
        <v>2160000</v>
      </c>
    </row>
    <row r="24" ht="12.75">
      <c r="C24" s="92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E1">
      <selection activeCell="G35" sqref="G35"/>
    </sheetView>
  </sheetViews>
  <sheetFormatPr defaultColWidth="9.00390625" defaultRowHeight="12.75"/>
  <cols>
    <col min="1" max="1" width="4.625" style="21" customWidth="1"/>
    <col min="2" max="2" width="35.375" style="21" customWidth="1"/>
    <col min="3" max="3" width="9.125" style="21" customWidth="1"/>
    <col min="4" max="4" width="10.375" style="21" customWidth="1"/>
    <col min="5" max="6" width="9.125" style="21" customWidth="1"/>
    <col min="7" max="7" width="29.875" style="21" customWidth="1"/>
    <col min="8" max="8" width="9.125" style="21" customWidth="1"/>
    <col min="9" max="10" width="9.875" style="21" customWidth="1"/>
    <col min="11" max="16384" width="9.125" style="21" customWidth="1"/>
  </cols>
  <sheetData>
    <row r="1" spans="10:13" s="20" customFormat="1" ht="12">
      <c r="J1" s="137" t="s">
        <v>198</v>
      </c>
      <c r="K1" s="137"/>
      <c r="L1" s="137"/>
      <c r="M1" s="137"/>
    </row>
    <row r="2" spans="10:13" s="20" customFormat="1" ht="12">
      <c r="J2" s="137"/>
      <c r="K2" s="137"/>
      <c r="L2" s="137"/>
      <c r="M2" s="137"/>
    </row>
    <row r="3" spans="10:13" s="20" customFormat="1" ht="12">
      <c r="J3" s="137"/>
      <c r="K3" s="137"/>
      <c r="L3" s="137"/>
      <c r="M3" s="137"/>
    </row>
    <row r="4" spans="10:13" s="20" customFormat="1" ht="12">
      <c r="J4" s="137"/>
      <c r="K4" s="137"/>
      <c r="L4" s="137"/>
      <c r="M4" s="137"/>
    </row>
    <row r="5" s="20" customFormat="1" ht="12"/>
    <row r="7" spans="1:13" ht="12.75">
      <c r="A7" s="139" t="s">
        <v>170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2.75">
      <c r="M9" s="24" t="s">
        <v>65</v>
      </c>
    </row>
    <row r="10" spans="1:13" ht="48" customHeight="1">
      <c r="A10" s="138" t="s">
        <v>66</v>
      </c>
      <c r="B10" s="138" t="s">
        <v>77</v>
      </c>
      <c r="C10" s="138" t="s">
        <v>78</v>
      </c>
      <c r="D10" s="138" t="s">
        <v>33</v>
      </c>
      <c r="E10" s="138" t="s">
        <v>18</v>
      </c>
      <c r="F10" s="138" t="s">
        <v>19</v>
      </c>
      <c r="G10" s="138" t="s">
        <v>79</v>
      </c>
      <c r="H10" s="138"/>
      <c r="I10" s="138" t="s">
        <v>171</v>
      </c>
      <c r="J10" s="138" t="s">
        <v>161</v>
      </c>
      <c r="K10" s="138" t="s">
        <v>164</v>
      </c>
      <c r="L10" s="138"/>
      <c r="M10" s="138"/>
    </row>
    <row r="11" spans="1:13" ht="24">
      <c r="A11" s="138"/>
      <c r="B11" s="138"/>
      <c r="C11" s="138"/>
      <c r="D11" s="138"/>
      <c r="E11" s="138"/>
      <c r="F11" s="138"/>
      <c r="G11" s="25" t="s">
        <v>80</v>
      </c>
      <c r="H11" s="25" t="s">
        <v>81</v>
      </c>
      <c r="I11" s="138"/>
      <c r="J11" s="138"/>
      <c r="K11" s="25" t="s">
        <v>68</v>
      </c>
      <c r="L11" s="25" t="s">
        <v>162</v>
      </c>
      <c r="M11" s="25" t="s">
        <v>172</v>
      </c>
    </row>
    <row r="12" spans="1:13" ht="25.5">
      <c r="A12" s="116" t="s">
        <v>22</v>
      </c>
      <c r="B12" s="69" t="s">
        <v>165</v>
      </c>
      <c r="C12" s="144" t="s">
        <v>169</v>
      </c>
      <c r="D12" s="145" t="s">
        <v>101</v>
      </c>
      <c r="E12" s="115" t="s">
        <v>88</v>
      </c>
      <c r="F12" s="115" t="s">
        <v>89</v>
      </c>
      <c r="G12" s="70" t="s">
        <v>82</v>
      </c>
      <c r="H12" s="71">
        <f>H13+H15</f>
        <v>5407266</v>
      </c>
      <c r="I12" s="71">
        <f>I13+I15</f>
        <v>1000000</v>
      </c>
      <c r="J12" s="71">
        <f>J13+J15</f>
        <v>4407266</v>
      </c>
      <c r="K12" s="70">
        <v>0</v>
      </c>
      <c r="L12" s="70">
        <v>0</v>
      </c>
      <c r="M12" s="70"/>
    </row>
    <row r="13" spans="1:13" ht="25.5">
      <c r="A13" s="143"/>
      <c r="B13" s="69" t="s">
        <v>166</v>
      </c>
      <c r="C13" s="144"/>
      <c r="D13" s="145"/>
      <c r="E13" s="115"/>
      <c r="F13" s="115"/>
      <c r="G13" s="72" t="s">
        <v>71</v>
      </c>
      <c r="H13" s="87">
        <f>I13+J13</f>
        <v>3000000</v>
      </c>
      <c r="I13" s="71">
        <v>1000000</v>
      </c>
      <c r="J13" s="87">
        <f>1900000+100000</f>
        <v>2000000</v>
      </c>
      <c r="K13" s="70"/>
      <c r="L13" s="70"/>
      <c r="M13" s="70"/>
    </row>
    <row r="14" spans="1:13" ht="38.25">
      <c r="A14" s="143"/>
      <c r="B14" s="69" t="s">
        <v>167</v>
      </c>
      <c r="C14" s="144"/>
      <c r="D14" s="145"/>
      <c r="E14" s="115"/>
      <c r="F14" s="115"/>
      <c r="G14" s="72" t="s">
        <v>72</v>
      </c>
      <c r="H14" s="87"/>
      <c r="I14" s="71"/>
      <c r="J14" s="87"/>
      <c r="K14" s="70"/>
      <c r="L14" s="70"/>
      <c r="M14" s="70"/>
    </row>
    <row r="15" spans="1:13" ht="25.5" customHeight="1">
      <c r="A15" s="143"/>
      <c r="B15" s="142" t="s">
        <v>168</v>
      </c>
      <c r="C15" s="144"/>
      <c r="D15" s="145"/>
      <c r="E15" s="115"/>
      <c r="F15" s="115"/>
      <c r="G15" s="109" t="s">
        <v>73</v>
      </c>
      <c r="H15" s="114">
        <f>J15</f>
        <v>2407266</v>
      </c>
      <c r="I15" s="140"/>
      <c r="J15" s="114">
        <f>2500000-92734</f>
        <v>2407266</v>
      </c>
      <c r="K15" s="113"/>
      <c r="L15" s="113"/>
      <c r="M15" s="113"/>
    </row>
    <row r="16" spans="1:13" ht="12.75">
      <c r="A16" s="117"/>
      <c r="B16" s="142"/>
      <c r="C16" s="144"/>
      <c r="D16" s="145"/>
      <c r="E16" s="115"/>
      <c r="F16" s="115"/>
      <c r="G16" s="109"/>
      <c r="H16" s="114"/>
      <c r="I16" s="140"/>
      <c r="J16" s="114"/>
      <c r="K16" s="113"/>
      <c r="L16" s="113"/>
      <c r="M16" s="113"/>
    </row>
    <row r="17" spans="1:13" ht="25.5">
      <c r="A17" s="116" t="s">
        <v>23</v>
      </c>
      <c r="B17" s="88" t="s">
        <v>215</v>
      </c>
      <c r="C17" s="144">
        <v>2009</v>
      </c>
      <c r="D17" s="145" t="s">
        <v>210</v>
      </c>
      <c r="E17" s="115" t="s">
        <v>219</v>
      </c>
      <c r="F17" s="115" t="s">
        <v>220</v>
      </c>
      <c r="G17" s="70" t="s">
        <v>82</v>
      </c>
      <c r="H17" s="87">
        <f>H18+H20+H19</f>
        <v>12500</v>
      </c>
      <c r="I17" s="141">
        <v>0</v>
      </c>
      <c r="J17" s="87">
        <f>H17</f>
        <v>12500</v>
      </c>
      <c r="K17" s="70"/>
      <c r="L17" s="70"/>
      <c r="M17" s="70"/>
    </row>
    <row r="18" spans="1:13" ht="25.5">
      <c r="A18" s="143"/>
      <c r="B18" s="89" t="s">
        <v>216</v>
      </c>
      <c r="C18" s="144"/>
      <c r="D18" s="145"/>
      <c r="E18" s="115"/>
      <c r="F18" s="115"/>
      <c r="G18" s="72" t="s">
        <v>71</v>
      </c>
      <c r="H18" s="87"/>
      <c r="I18" s="141"/>
      <c r="J18" s="87"/>
      <c r="K18" s="70"/>
      <c r="L18" s="70"/>
      <c r="M18" s="70"/>
    </row>
    <row r="19" spans="1:13" ht="25.5">
      <c r="A19" s="143"/>
      <c r="B19" s="89" t="s">
        <v>217</v>
      </c>
      <c r="C19" s="144"/>
      <c r="D19" s="145"/>
      <c r="E19" s="115"/>
      <c r="F19" s="115"/>
      <c r="G19" s="72" t="s">
        <v>72</v>
      </c>
      <c r="H19" s="87">
        <v>629</v>
      </c>
      <c r="I19" s="141"/>
      <c r="J19" s="87">
        <f>H19</f>
        <v>629</v>
      </c>
      <c r="K19" s="70"/>
      <c r="L19" s="70"/>
      <c r="M19" s="70"/>
    </row>
    <row r="20" spans="1:13" ht="25.5" customHeight="1">
      <c r="A20" s="143"/>
      <c r="B20" s="142" t="s">
        <v>218</v>
      </c>
      <c r="C20" s="144"/>
      <c r="D20" s="145"/>
      <c r="E20" s="115"/>
      <c r="F20" s="115"/>
      <c r="G20" s="109" t="s">
        <v>73</v>
      </c>
      <c r="H20" s="114">
        <v>11871</v>
      </c>
      <c r="I20" s="141"/>
      <c r="J20" s="114">
        <f>H20</f>
        <v>11871</v>
      </c>
      <c r="K20" s="113"/>
      <c r="L20" s="113"/>
      <c r="M20" s="113"/>
    </row>
    <row r="21" spans="1:13" ht="12.75">
      <c r="A21" s="143"/>
      <c r="B21" s="142"/>
      <c r="C21" s="144"/>
      <c r="D21" s="145"/>
      <c r="E21" s="115"/>
      <c r="F21" s="115"/>
      <c r="G21" s="109"/>
      <c r="H21" s="114"/>
      <c r="I21" s="141"/>
      <c r="J21" s="114"/>
      <c r="K21" s="113"/>
      <c r="L21" s="113"/>
      <c r="M21" s="113"/>
    </row>
    <row r="22" spans="1:13" ht="25.5">
      <c r="A22" s="143" t="s">
        <v>24</v>
      </c>
      <c r="B22" s="69" t="s">
        <v>165</v>
      </c>
      <c r="C22" s="116" t="s">
        <v>2</v>
      </c>
      <c r="D22" s="118" t="s">
        <v>101</v>
      </c>
      <c r="E22" s="121" t="s">
        <v>90</v>
      </c>
      <c r="F22" s="121" t="s">
        <v>91</v>
      </c>
      <c r="G22" s="70" t="s">
        <v>82</v>
      </c>
      <c r="H22" s="87">
        <f>I22+J22+K22</f>
        <v>5150000</v>
      </c>
      <c r="I22" s="100">
        <v>80000</v>
      </c>
      <c r="J22" s="87">
        <f>J23+J24+J25</f>
        <v>1350000</v>
      </c>
      <c r="K22" s="97">
        <v>3720000</v>
      </c>
      <c r="L22" s="97"/>
      <c r="M22" s="97"/>
    </row>
    <row r="23" spans="1:13" ht="25.5">
      <c r="A23" s="143"/>
      <c r="B23" s="69" t="s">
        <v>239</v>
      </c>
      <c r="C23" s="143"/>
      <c r="D23" s="119"/>
      <c r="E23" s="122"/>
      <c r="F23" s="122"/>
      <c r="G23" s="72" t="s">
        <v>71</v>
      </c>
      <c r="H23" s="87">
        <f>I23+J23+K23</f>
        <v>1640000</v>
      </c>
      <c r="I23" s="100">
        <v>80000</v>
      </c>
      <c r="J23" s="87">
        <v>0</v>
      </c>
      <c r="K23" s="97">
        <f>K22-K25</f>
        <v>1560000</v>
      </c>
      <c r="L23" s="97"/>
      <c r="M23" s="97"/>
    </row>
    <row r="24" spans="1:13" ht="25.5">
      <c r="A24" s="143"/>
      <c r="B24" s="69" t="s">
        <v>0</v>
      </c>
      <c r="C24" s="143"/>
      <c r="D24" s="119"/>
      <c r="E24" s="122"/>
      <c r="F24" s="122"/>
      <c r="G24" s="72" t="s">
        <v>72</v>
      </c>
      <c r="H24" s="87">
        <v>0</v>
      </c>
      <c r="I24" s="141"/>
      <c r="J24" s="87">
        <v>0</v>
      </c>
      <c r="K24" s="97">
        <v>0</v>
      </c>
      <c r="L24" s="97"/>
      <c r="M24" s="97"/>
    </row>
    <row r="25" spans="1:13" ht="12.75">
      <c r="A25" s="143"/>
      <c r="B25" s="142" t="s">
        <v>1</v>
      </c>
      <c r="C25" s="143"/>
      <c r="D25" s="119"/>
      <c r="E25" s="122"/>
      <c r="F25" s="122"/>
      <c r="G25" s="109" t="s">
        <v>73</v>
      </c>
      <c r="H25" s="140">
        <f>J25+K25</f>
        <v>3510000</v>
      </c>
      <c r="I25" s="141"/>
      <c r="J25" s="140">
        <v>1350000</v>
      </c>
      <c r="K25" s="140">
        <v>2160000</v>
      </c>
      <c r="L25" s="140"/>
      <c r="M25" s="140"/>
    </row>
    <row r="26" spans="1:13" ht="12.75">
      <c r="A26" s="143"/>
      <c r="B26" s="142"/>
      <c r="C26" s="117"/>
      <c r="D26" s="120"/>
      <c r="E26" s="108"/>
      <c r="F26" s="108"/>
      <c r="G26" s="109"/>
      <c r="H26" s="140"/>
      <c r="I26" s="141"/>
      <c r="J26" s="140"/>
      <c r="K26" s="140"/>
      <c r="L26" s="140"/>
      <c r="M26" s="140"/>
    </row>
    <row r="27" spans="1:13" ht="12.75">
      <c r="A27" s="90"/>
      <c r="B27" s="70" t="s">
        <v>75</v>
      </c>
      <c r="C27" s="110"/>
      <c r="D27" s="110"/>
      <c r="E27" s="110"/>
      <c r="F27" s="110"/>
      <c r="G27" s="70"/>
      <c r="H27" s="87">
        <f>H12+H17+H22</f>
        <v>10569766</v>
      </c>
      <c r="I27" s="71">
        <f>I12+I22</f>
        <v>1080000</v>
      </c>
      <c r="J27" s="87">
        <f>J12+J17+J22</f>
        <v>5769766</v>
      </c>
      <c r="K27" s="71">
        <f>K12+K22</f>
        <v>3720000</v>
      </c>
      <c r="L27" s="70"/>
      <c r="M27" s="70"/>
    </row>
    <row r="28" spans="1:13" ht="12.75">
      <c r="A28" s="90"/>
      <c r="B28" s="73" t="s">
        <v>71</v>
      </c>
      <c r="C28" s="111"/>
      <c r="D28" s="111"/>
      <c r="E28" s="111"/>
      <c r="F28" s="111"/>
      <c r="G28" s="70"/>
      <c r="H28" s="87">
        <f>H13+H18+H23</f>
        <v>4640000</v>
      </c>
      <c r="I28" s="71">
        <f>I13+I23</f>
        <v>1080000</v>
      </c>
      <c r="J28" s="87">
        <f>J13+J18+J23</f>
        <v>2000000</v>
      </c>
      <c r="K28" s="71">
        <f>K13+K23</f>
        <v>1560000</v>
      </c>
      <c r="L28" s="70"/>
      <c r="M28" s="70"/>
    </row>
    <row r="29" spans="1:13" ht="12.75">
      <c r="A29" s="90"/>
      <c r="B29" s="73" t="s">
        <v>72</v>
      </c>
      <c r="C29" s="111"/>
      <c r="D29" s="111"/>
      <c r="E29" s="111"/>
      <c r="F29" s="111"/>
      <c r="G29" s="70"/>
      <c r="H29" s="87">
        <f>H14+H19+H24</f>
        <v>629</v>
      </c>
      <c r="I29" s="71">
        <f>I14</f>
        <v>0</v>
      </c>
      <c r="J29" s="87">
        <f>J14+J19+J24</f>
        <v>629</v>
      </c>
      <c r="K29" s="71">
        <f>K14+K24</f>
        <v>0</v>
      </c>
      <c r="L29" s="70"/>
      <c r="M29" s="70"/>
    </row>
    <row r="30" spans="1:13" ht="12.75">
      <c r="A30" s="91"/>
      <c r="B30" s="74" t="s">
        <v>73</v>
      </c>
      <c r="C30" s="112"/>
      <c r="D30" s="112"/>
      <c r="E30" s="112"/>
      <c r="F30" s="112"/>
      <c r="G30" s="70"/>
      <c r="H30" s="87">
        <f>H15+H20+H25</f>
        <v>5929137</v>
      </c>
      <c r="I30" s="71">
        <f>I15</f>
        <v>0</v>
      </c>
      <c r="J30" s="87">
        <f>J15+J20+J25</f>
        <v>3769137</v>
      </c>
      <c r="K30" s="71">
        <f>K15+K25</f>
        <v>2160000</v>
      </c>
      <c r="L30" s="70"/>
      <c r="M30" s="70"/>
    </row>
  </sheetData>
  <sheetProtection/>
  <mergeCells count="55"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  <mergeCell ref="K10:M10"/>
    <mergeCell ref="A7:M7"/>
    <mergeCell ref="A10:A11"/>
    <mergeCell ref="B10:B11"/>
    <mergeCell ref="C10:C11"/>
    <mergeCell ref="D10:D11"/>
    <mergeCell ref="E10:E11"/>
    <mergeCell ref="F10:F11"/>
    <mergeCell ref="G15:G16"/>
    <mergeCell ref="I10:I11"/>
    <mergeCell ref="H15:H16"/>
    <mergeCell ref="G20:G21"/>
    <mergeCell ref="A12:A16"/>
    <mergeCell ref="C17:C21"/>
    <mergeCell ref="D17:D21"/>
    <mergeCell ref="E27:E30"/>
    <mergeCell ref="B15:B16"/>
    <mergeCell ref="C12:C16"/>
    <mergeCell ref="D12:D16"/>
    <mergeCell ref="C27:C30"/>
    <mergeCell ref="D27:D30"/>
    <mergeCell ref="E12:E16"/>
    <mergeCell ref="F27:F30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I24:I26"/>
    <mergeCell ref="B25:B26"/>
    <mergeCell ref="A22:A26"/>
    <mergeCell ref="C22:C26"/>
    <mergeCell ref="D22:D26"/>
    <mergeCell ref="E22:E26"/>
    <mergeCell ref="F22:F26"/>
    <mergeCell ref="G25:G26"/>
    <mergeCell ref="H25:H26"/>
    <mergeCell ref="J25:J26"/>
    <mergeCell ref="K25:K26"/>
    <mergeCell ref="L25:L26"/>
    <mergeCell ref="M25:M2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defaultGridColor="0" zoomScalePageLayoutView="0" colorId="8" workbookViewId="0" topLeftCell="A1">
      <selection activeCell="E36" sqref="E36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52" t="s">
        <v>15</v>
      </c>
      <c r="H1" s="152"/>
      <c r="I1" s="152"/>
      <c r="J1" s="152"/>
    </row>
    <row r="2" spans="7:10" ht="12.75">
      <c r="G2" s="152"/>
      <c r="H2" s="152"/>
      <c r="I2" s="152"/>
      <c r="J2" s="152"/>
    </row>
    <row r="3" spans="7:10" ht="12.75">
      <c r="G3" s="152"/>
      <c r="H3" s="152"/>
      <c r="I3" s="152"/>
      <c r="J3" s="152"/>
    </row>
    <row r="4" spans="7:10" ht="12.75">
      <c r="G4" s="152"/>
      <c r="H4" s="152"/>
      <c r="I4" s="152"/>
      <c r="J4" s="152"/>
    </row>
    <row r="6" spans="1:10" ht="48.75" customHeight="1">
      <c r="A6" s="153" t="s">
        <v>181</v>
      </c>
      <c r="B6" s="153"/>
      <c r="C6" s="153"/>
      <c r="D6" s="153"/>
      <c r="E6" s="153"/>
      <c r="F6" s="153"/>
      <c r="G6" s="153"/>
      <c r="H6" s="153"/>
      <c r="I6" s="153"/>
      <c r="J6" s="153"/>
    </row>
    <row r="7" ht="12.75">
      <c r="J7" s="3" t="s">
        <v>30</v>
      </c>
    </row>
    <row r="8" spans="1:11" s="2" customFormat="1" ht="20.25" customHeight="1">
      <c r="A8" s="147" t="s">
        <v>18</v>
      </c>
      <c r="B8" s="147" t="s">
        <v>19</v>
      </c>
      <c r="C8" s="147" t="s">
        <v>25</v>
      </c>
      <c r="D8" s="147" t="s">
        <v>180</v>
      </c>
      <c r="E8" s="147" t="s">
        <v>21</v>
      </c>
      <c r="F8" s="147"/>
      <c r="G8" s="147"/>
      <c r="H8" s="147"/>
      <c r="I8" s="147"/>
      <c r="J8" s="147"/>
      <c r="K8" s="147"/>
    </row>
    <row r="9" spans="1:11" s="2" customFormat="1" ht="20.25" customHeight="1">
      <c r="A9" s="147"/>
      <c r="B9" s="147"/>
      <c r="C9" s="147"/>
      <c r="D9" s="147"/>
      <c r="E9" s="147" t="s">
        <v>27</v>
      </c>
      <c r="F9" s="147" t="s">
        <v>36</v>
      </c>
      <c r="G9" s="147"/>
      <c r="H9" s="147"/>
      <c r="I9" s="147"/>
      <c r="J9" s="147"/>
      <c r="K9" s="147" t="s">
        <v>28</v>
      </c>
    </row>
    <row r="10" spans="1:11" s="2" customFormat="1" ht="65.25" customHeight="1">
      <c r="A10" s="147"/>
      <c r="B10" s="147"/>
      <c r="C10" s="147"/>
      <c r="D10" s="147"/>
      <c r="E10" s="147"/>
      <c r="F10" s="11" t="s">
        <v>130</v>
      </c>
      <c r="G10" s="11" t="s">
        <v>37</v>
      </c>
      <c r="H10" s="11" t="s">
        <v>38</v>
      </c>
      <c r="I10" s="11" t="s">
        <v>39</v>
      </c>
      <c r="J10" s="11" t="s">
        <v>131</v>
      </c>
      <c r="K10" s="147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93" customFormat="1" ht="19.5" customHeight="1">
      <c r="A12" s="95" t="s">
        <v>88</v>
      </c>
      <c r="B12" s="95" t="s">
        <v>94</v>
      </c>
      <c r="C12" s="96">
        <v>2010</v>
      </c>
      <c r="D12" s="61">
        <v>217739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s="93" customFormat="1" ht="19.5" customHeight="1">
      <c r="A13" s="95" t="s">
        <v>88</v>
      </c>
      <c r="B13" s="95" t="s">
        <v>94</v>
      </c>
      <c r="C13" s="96">
        <v>4010</v>
      </c>
      <c r="D13" s="94">
        <v>0</v>
      </c>
      <c r="E13" s="61">
        <v>3631</v>
      </c>
      <c r="F13" s="61">
        <f>E13</f>
        <v>3631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s="93" customFormat="1" ht="19.5" customHeight="1">
      <c r="A14" s="95" t="s">
        <v>88</v>
      </c>
      <c r="B14" s="95" t="s">
        <v>94</v>
      </c>
      <c r="C14" s="96">
        <v>4110</v>
      </c>
      <c r="D14" s="94">
        <v>0</v>
      </c>
      <c r="E14" s="61">
        <v>549</v>
      </c>
      <c r="F14" s="61">
        <f>E14</f>
        <v>549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s="93" customFormat="1" ht="19.5" customHeight="1">
      <c r="A15" s="95" t="s">
        <v>88</v>
      </c>
      <c r="B15" s="95" t="s">
        <v>94</v>
      </c>
      <c r="C15" s="96">
        <v>4120</v>
      </c>
      <c r="D15" s="94">
        <v>0</v>
      </c>
      <c r="E15" s="61">
        <v>89</v>
      </c>
      <c r="F15" s="61">
        <f>E15</f>
        <v>89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s="93" customFormat="1" ht="19.5" customHeight="1">
      <c r="A16" s="95" t="s">
        <v>88</v>
      </c>
      <c r="B16" s="95" t="s">
        <v>94</v>
      </c>
      <c r="C16" s="96">
        <v>4430</v>
      </c>
      <c r="D16" s="94">
        <v>0</v>
      </c>
      <c r="E16" s="61">
        <v>213470</v>
      </c>
      <c r="F16" s="36">
        <v>0</v>
      </c>
      <c r="G16" s="36">
        <v>0</v>
      </c>
      <c r="H16" s="36">
        <v>0</v>
      </c>
      <c r="I16" s="36">
        <v>0</v>
      </c>
      <c r="J16" s="61">
        <f>E16</f>
        <v>213470</v>
      </c>
      <c r="K16" s="36">
        <v>0</v>
      </c>
    </row>
    <row r="17" spans="1:11" s="13" customFormat="1" ht="19.5" customHeight="1">
      <c r="A17" s="149" t="s">
        <v>102</v>
      </c>
      <c r="B17" s="150"/>
      <c r="C17" s="151"/>
      <c r="D17" s="59">
        <f>D16+D15+D14+D13+D12</f>
        <v>217739</v>
      </c>
      <c r="E17" s="59">
        <f aca="true" t="shared" si="0" ref="E17:K17">E16+E15+E14+E13+E12</f>
        <v>217739</v>
      </c>
      <c r="F17" s="59">
        <f t="shared" si="0"/>
        <v>4269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213470</v>
      </c>
      <c r="K17" s="59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75">
        <v>123428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34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75">
        <v>0</v>
      </c>
      <c r="E19" s="75">
        <v>105000</v>
      </c>
      <c r="F19" s="75">
        <f>E19</f>
        <v>105000</v>
      </c>
      <c r="G19" s="75">
        <v>0</v>
      </c>
      <c r="H19" s="75">
        <v>0</v>
      </c>
      <c r="I19" s="75">
        <v>0</v>
      </c>
      <c r="J19" s="75">
        <v>0</v>
      </c>
      <c r="K19" s="34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75">
        <v>0</v>
      </c>
      <c r="E20" s="75">
        <v>15855</v>
      </c>
      <c r="F20" s="75">
        <f>E20</f>
        <v>15855</v>
      </c>
      <c r="G20" s="75">
        <v>0</v>
      </c>
      <c r="H20" s="75">
        <v>0</v>
      </c>
      <c r="I20" s="75">
        <v>0</v>
      </c>
      <c r="J20" s="75">
        <v>0</v>
      </c>
      <c r="K20" s="34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75">
        <v>0</v>
      </c>
      <c r="E21" s="75">
        <v>2573</v>
      </c>
      <c r="F21" s="75">
        <f>E21</f>
        <v>2573</v>
      </c>
      <c r="G21" s="75">
        <v>0</v>
      </c>
      <c r="H21" s="75">
        <v>0</v>
      </c>
      <c r="I21" s="75">
        <v>0</v>
      </c>
      <c r="J21" s="75">
        <v>0</v>
      </c>
      <c r="K21" s="34">
        <v>0</v>
      </c>
    </row>
    <row r="22" spans="1:11" s="13" customFormat="1" ht="19.5" customHeight="1">
      <c r="A22" s="148" t="s">
        <v>115</v>
      </c>
      <c r="B22" s="148"/>
      <c r="C22" s="148"/>
      <c r="D22" s="59">
        <f>D21+D20+D19+D18</f>
        <v>123428</v>
      </c>
      <c r="E22" s="59">
        <f aca="true" t="shared" si="1" ref="E22:K22">E21+E20+E19+E18</f>
        <v>123428</v>
      </c>
      <c r="F22" s="59">
        <f t="shared" si="1"/>
        <v>123428</v>
      </c>
      <c r="G22" s="59">
        <f t="shared" si="1"/>
        <v>0</v>
      </c>
      <c r="H22" s="59">
        <f t="shared" si="1"/>
        <v>0</v>
      </c>
      <c r="I22" s="59">
        <f t="shared" si="1"/>
        <v>0</v>
      </c>
      <c r="J22" s="59">
        <f t="shared" si="1"/>
        <v>0</v>
      </c>
      <c r="K22" s="59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75">
        <v>3813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34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75">
        <v>0</v>
      </c>
      <c r="E24" s="75">
        <v>3243</v>
      </c>
      <c r="F24" s="75">
        <f>E24</f>
        <v>3243</v>
      </c>
      <c r="G24" s="75">
        <v>0</v>
      </c>
      <c r="H24" s="75">
        <v>0</v>
      </c>
      <c r="I24" s="75">
        <v>0</v>
      </c>
      <c r="J24" s="75">
        <v>0</v>
      </c>
      <c r="K24" s="34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75">
        <v>0</v>
      </c>
      <c r="E25" s="75">
        <v>490</v>
      </c>
      <c r="F25" s="75">
        <f>E25</f>
        <v>490</v>
      </c>
      <c r="G25" s="75">
        <v>0</v>
      </c>
      <c r="H25" s="75">
        <v>0</v>
      </c>
      <c r="I25" s="75">
        <v>0</v>
      </c>
      <c r="J25" s="75">
        <v>0</v>
      </c>
      <c r="K25" s="34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75">
        <v>0</v>
      </c>
      <c r="E26" s="75">
        <v>80</v>
      </c>
      <c r="F26" s="75">
        <f>E26</f>
        <v>80</v>
      </c>
      <c r="G26" s="75">
        <v>0</v>
      </c>
      <c r="H26" s="75">
        <v>0</v>
      </c>
      <c r="I26" s="75">
        <v>0</v>
      </c>
      <c r="J26" s="75">
        <v>0</v>
      </c>
      <c r="K26" s="34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75">
        <f>17980+24120</f>
        <v>42100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34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75">
        <v>0</v>
      </c>
      <c r="E28" s="75">
        <v>24120</v>
      </c>
      <c r="F28" s="75">
        <v>0</v>
      </c>
      <c r="G28" s="75">
        <v>0</v>
      </c>
      <c r="H28" s="75">
        <v>0</v>
      </c>
      <c r="I28" s="75">
        <v>0</v>
      </c>
      <c r="J28" s="75">
        <v>24120</v>
      </c>
      <c r="K28" s="34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75">
        <v>0</v>
      </c>
      <c r="E29" s="75">
        <f>462+398-33+300</f>
        <v>1127</v>
      </c>
      <c r="F29" s="75">
        <f>E29</f>
        <v>1127</v>
      </c>
      <c r="G29" s="75">
        <v>0</v>
      </c>
      <c r="H29" s="75">
        <v>0</v>
      </c>
      <c r="I29" s="75">
        <v>0</v>
      </c>
      <c r="J29" s="75">
        <v>0</v>
      </c>
      <c r="K29" s="34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75">
        <v>0</v>
      </c>
      <c r="E30" s="75">
        <f>68+65+2+48</f>
        <v>183</v>
      </c>
      <c r="F30" s="75">
        <f>E30</f>
        <v>183</v>
      </c>
      <c r="G30" s="75">
        <v>0</v>
      </c>
      <c r="H30" s="75">
        <v>0</v>
      </c>
      <c r="I30" s="75">
        <v>0</v>
      </c>
      <c r="J30" s="75">
        <v>0</v>
      </c>
      <c r="K30" s="34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75">
        <v>0</v>
      </c>
      <c r="E31" s="75">
        <f>5390+1920</f>
        <v>7310</v>
      </c>
      <c r="F31" s="75">
        <f>E31</f>
        <v>7310</v>
      </c>
      <c r="G31" s="75">
        <v>0</v>
      </c>
      <c r="H31" s="75">
        <v>0</v>
      </c>
      <c r="I31" s="75">
        <v>0</v>
      </c>
      <c r="J31" s="75">
        <v>0</v>
      </c>
      <c r="K31" s="34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75">
        <v>0</v>
      </c>
      <c r="E32" s="75">
        <f>9000-463-2955</f>
        <v>5582</v>
      </c>
      <c r="F32" s="75">
        <v>0</v>
      </c>
      <c r="G32" s="75">
        <v>0</v>
      </c>
      <c r="H32" s="75">
        <v>0</v>
      </c>
      <c r="I32" s="75">
        <v>0</v>
      </c>
      <c r="J32" s="75">
        <f>E32</f>
        <v>5582</v>
      </c>
      <c r="K32" s="34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75">
        <v>0</v>
      </c>
      <c r="E33" s="75">
        <f>5358-5168+3200-3200</f>
        <v>190</v>
      </c>
      <c r="F33" s="75">
        <v>0</v>
      </c>
      <c r="G33" s="75">
        <v>0</v>
      </c>
      <c r="H33" s="75">
        <v>0</v>
      </c>
      <c r="I33" s="75">
        <v>0</v>
      </c>
      <c r="J33" s="75">
        <f>E33</f>
        <v>190</v>
      </c>
      <c r="K33" s="34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75">
        <v>0</v>
      </c>
      <c r="E34" s="75">
        <f>193+2200</f>
        <v>2393</v>
      </c>
      <c r="F34" s="75">
        <v>0</v>
      </c>
      <c r="G34" s="75">
        <v>0</v>
      </c>
      <c r="H34" s="75">
        <v>0</v>
      </c>
      <c r="I34" s="75">
        <v>0</v>
      </c>
      <c r="J34" s="75">
        <f>E34</f>
        <v>2393</v>
      </c>
      <c r="K34" s="34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75">
        <v>0</v>
      </c>
      <c r="E35" s="75">
        <f>195+1000</f>
        <v>1195</v>
      </c>
      <c r="F35" s="75">
        <v>0</v>
      </c>
      <c r="G35" s="75">
        <v>0</v>
      </c>
      <c r="H35" s="75">
        <v>0</v>
      </c>
      <c r="I35" s="75">
        <v>0</v>
      </c>
      <c r="J35" s="75">
        <f>E35</f>
        <v>1195</v>
      </c>
      <c r="K35" s="34">
        <v>0</v>
      </c>
    </row>
    <row r="36" spans="1:12" s="13" customFormat="1" ht="19.5" customHeight="1">
      <c r="A36" s="148" t="s">
        <v>123</v>
      </c>
      <c r="B36" s="148"/>
      <c r="C36" s="148"/>
      <c r="D36" s="59">
        <f>D26+D25+D24+D23+D27+D29+D30+D32+D33</f>
        <v>45913</v>
      </c>
      <c r="E36" s="59">
        <f>E26+E25+E24+E23+E27+E29+E30+E32+E33+E28+E31+E34+E35</f>
        <v>45913</v>
      </c>
      <c r="F36" s="59">
        <f aca="true" t="shared" si="2" ref="F36:K36">F26+F25+F24+F23+F27+F29+F30+F32+F33+F28+F31+F34+F35</f>
        <v>12433</v>
      </c>
      <c r="G36" s="59">
        <f t="shared" si="2"/>
        <v>0</v>
      </c>
      <c r="H36" s="59">
        <f t="shared" si="2"/>
        <v>0</v>
      </c>
      <c r="I36" s="59">
        <f t="shared" si="2"/>
        <v>0</v>
      </c>
      <c r="J36" s="59">
        <f t="shared" si="2"/>
        <v>33480</v>
      </c>
      <c r="K36" s="59">
        <f t="shared" si="2"/>
        <v>0</v>
      </c>
      <c r="L36" s="98"/>
    </row>
    <row r="37" spans="1:11" ht="19.5" customHeight="1">
      <c r="A37" s="7">
        <v>852</v>
      </c>
      <c r="B37" s="7">
        <v>85212</v>
      </c>
      <c r="C37" s="7">
        <v>2010</v>
      </c>
      <c r="D37" s="75">
        <v>7637329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4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75">
        <v>0</v>
      </c>
      <c r="E38" s="75">
        <v>7382729</v>
      </c>
      <c r="F38" s="75">
        <v>0</v>
      </c>
      <c r="G38" s="75">
        <v>0</v>
      </c>
      <c r="H38" s="75">
        <v>0</v>
      </c>
      <c r="I38" s="75">
        <v>0</v>
      </c>
      <c r="J38" s="75">
        <v>7382729</v>
      </c>
      <c r="K38" s="34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75">
        <v>0</v>
      </c>
      <c r="E39" s="75">
        <v>146875</v>
      </c>
      <c r="F39" s="75">
        <v>146875</v>
      </c>
      <c r="G39" s="75">
        <v>0</v>
      </c>
      <c r="H39" s="75">
        <v>0</v>
      </c>
      <c r="I39" s="75">
        <v>0</v>
      </c>
      <c r="J39" s="75">
        <v>0</v>
      </c>
      <c r="K39" s="34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75">
        <v>0</v>
      </c>
      <c r="E40" s="75">
        <v>7663</v>
      </c>
      <c r="F40" s="75">
        <v>7663</v>
      </c>
      <c r="G40" s="75">
        <v>0</v>
      </c>
      <c r="H40" s="75">
        <v>0</v>
      </c>
      <c r="I40" s="75">
        <v>0</v>
      </c>
      <c r="J40" s="75">
        <v>0</v>
      </c>
      <c r="K40" s="34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75">
        <v>0</v>
      </c>
      <c r="E41" s="75">
        <v>56015</v>
      </c>
      <c r="F41" s="75">
        <v>56015</v>
      </c>
      <c r="G41" s="75">
        <v>0</v>
      </c>
      <c r="H41" s="75">
        <v>0</v>
      </c>
      <c r="I41" s="75">
        <v>0</v>
      </c>
      <c r="J41" s="75">
        <v>0</v>
      </c>
      <c r="K41" s="34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75">
        <v>0</v>
      </c>
      <c r="E42" s="75">
        <v>3787</v>
      </c>
      <c r="F42" s="75">
        <v>3787</v>
      </c>
      <c r="G42" s="75">
        <v>0</v>
      </c>
      <c r="H42" s="75">
        <v>0</v>
      </c>
      <c r="I42" s="75">
        <v>0</v>
      </c>
      <c r="J42" s="75">
        <v>0</v>
      </c>
      <c r="K42" s="34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75">
        <v>0</v>
      </c>
      <c r="E43" s="75">
        <v>2400</v>
      </c>
      <c r="F43" s="75">
        <v>2400</v>
      </c>
      <c r="G43" s="75">
        <v>0</v>
      </c>
      <c r="H43" s="75">
        <v>0</v>
      </c>
      <c r="I43" s="75">
        <v>0</v>
      </c>
      <c r="J43" s="75">
        <v>0</v>
      </c>
      <c r="K43" s="34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75">
        <v>0</v>
      </c>
      <c r="E44" s="75">
        <v>5500</v>
      </c>
      <c r="F44" s="75">
        <v>0</v>
      </c>
      <c r="G44" s="75">
        <v>0</v>
      </c>
      <c r="H44" s="75">
        <v>0</v>
      </c>
      <c r="I44" s="75">
        <v>0</v>
      </c>
      <c r="J44" s="75">
        <v>5500</v>
      </c>
      <c r="K44" s="34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75">
        <v>0</v>
      </c>
      <c r="E45" s="75">
        <v>18080</v>
      </c>
      <c r="F45" s="75">
        <v>0</v>
      </c>
      <c r="G45" s="75">
        <v>0</v>
      </c>
      <c r="H45" s="75">
        <v>0</v>
      </c>
      <c r="I45" s="75">
        <v>0</v>
      </c>
      <c r="J45" s="75">
        <v>18080</v>
      </c>
      <c r="K45" s="34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75">
        <v>0</v>
      </c>
      <c r="E46" s="75">
        <v>6300</v>
      </c>
      <c r="F46" s="75">
        <v>0</v>
      </c>
      <c r="G46" s="75">
        <v>0</v>
      </c>
      <c r="H46" s="75">
        <v>0</v>
      </c>
      <c r="I46" s="75">
        <v>0</v>
      </c>
      <c r="J46" s="75">
        <v>6300</v>
      </c>
      <c r="K46" s="34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75">
        <v>0</v>
      </c>
      <c r="E47" s="75">
        <f>2850+150</f>
        <v>3000</v>
      </c>
      <c r="F47" s="75">
        <v>0</v>
      </c>
      <c r="G47" s="75">
        <v>0</v>
      </c>
      <c r="H47" s="75">
        <v>0</v>
      </c>
      <c r="I47" s="75">
        <v>0</v>
      </c>
      <c r="J47" s="75">
        <v>2850</v>
      </c>
      <c r="K47" s="34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75">
        <v>0</v>
      </c>
      <c r="E48" s="75">
        <f>1300+300</f>
        <v>1600</v>
      </c>
      <c r="F48" s="75">
        <v>0</v>
      </c>
      <c r="G48" s="75">
        <v>0</v>
      </c>
      <c r="H48" s="75">
        <v>0</v>
      </c>
      <c r="I48" s="75">
        <v>0</v>
      </c>
      <c r="J48" s="75">
        <v>1300</v>
      </c>
      <c r="K48" s="34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75">
        <v>0</v>
      </c>
      <c r="E49" s="75">
        <f>1800-450</f>
        <v>1350</v>
      </c>
      <c r="F49" s="75">
        <v>0</v>
      </c>
      <c r="G49" s="75">
        <v>0</v>
      </c>
      <c r="H49" s="75">
        <v>0</v>
      </c>
      <c r="I49" s="75">
        <v>0</v>
      </c>
      <c r="J49" s="75">
        <v>1800</v>
      </c>
      <c r="K49" s="34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75">
        <v>0</v>
      </c>
      <c r="E50" s="75">
        <v>2030</v>
      </c>
      <c r="F50" s="75">
        <v>0</v>
      </c>
      <c r="G50" s="75">
        <v>0</v>
      </c>
      <c r="H50" s="75">
        <v>0</v>
      </c>
      <c r="I50" s="75">
        <v>0</v>
      </c>
      <c r="J50" s="75">
        <v>2030</v>
      </c>
      <c r="K50" s="34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75">
        <v>44932</v>
      </c>
      <c r="E51" s="75">
        <v>0</v>
      </c>
      <c r="F51" s="75">
        <f>E51</f>
        <v>0</v>
      </c>
      <c r="G51" s="75">
        <v>0</v>
      </c>
      <c r="H51" s="75">
        <v>0</v>
      </c>
      <c r="I51" s="75">
        <v>0</v>
      </c>
      <c r="J51" s="75">
        <v>0</v>
      </c>
      <c r="K51" s="34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75">
        <v>0</v>
      </c>
      <c r="E52" s="75">
        <v>44932</v>
      </c>
      <c r="F52" s="75">
        <v>44932</v>
      </c>
      <c r="G52" s="75">
        <v>0</v>
      </c>
      <c r="H52" s="75">
        <v>0</v>
      </c>
      <c r="I52" s="75">
        <v>0</v>
      </c>
      <c r="J52" s="75">
        <v>0</v>
      </c>
      <c r="K52" s="34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75">
        <v>300725</v>
      </c>
      <c r="E53" s="75">
        <v>0</v>
      </c>
      <c r="F53" s="75">
        <f>E53</f>
        <v>0</v>
      </c>
      <c r="G53" s="75">
        <f>G54</f>
        <v>0</v>
      </c>
      <c r="H53" s="75">
        <f>H54</f>
        <v>0</v>
      </c>
      <c r="I53" s="75">
        <v>0</v>
      </c>
      <c r="J53" s="75">
        <v>0</v>
      </c>
      <c r="K53" s="34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75">
        <v>0</v>
      </c>
      <c r="E54" s="75">
        <v>300725</v>
      </c>
      <c r="F54" s="75">
        <v>0</v>
      </c>
      <c r="G54" s="75">
        <v>0</v>
      </c>
      <c r="H54" s="75">
        <v>0</v>
      </c>
      <c r="I54" s="75">
        <v>0</v>
      </c>
      <c r="J54" s="75">
        <v>300725</v>
      </c>
      <c r="K54" s="34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75">
        <v>47586</v>
      </c>
      <c r="E55" s="75">
        <v>0</v>
      </c>
      <c r="F55" s="75">
        <f>E55</f>
        <v>0</v>
      </c>
      <c r="G55" s="75">
        <v>0</v>
      </c>
      <c r="H55" s="75">
        <v>0</v>
      </c>
      <c r="I55" s="75">
        <v>0</v>
      </c>
      <c r="J55" s="75">
        <v>0</v>
      </c>
      <c r="K55" s="34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75">
        <v>0</v>
      </c>
      <c r="E56" s="75">
        <f>245-100</f>
        <v>145</v>
      </c>
      <c r="F56" s="75">
        <v>0</v>
      </c>
      <c r="G56" s="75">
        <v>0</v>
      </c>
      <c r="H56" s="75">
        <v>0</v>
      </c>
      <c r="I56" s="75">
        <v>0</v>
      </c>
      <c r="J56" s="75">
        <v>245</v>
      </c>
      <c r="K56" s="34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75">
        <v>0</v>
      </c>
      <c r="E57" s="75">
        <v>35063</v>
      </c>
      <c r="F57" s="75">
        <v>35063</v>
      </c>
      <c r="G57" s="75">
        <v>0</v>
      </c>
      <c r="H57" s="75">
        <v>0</v>
      </c>
      <c r="I57" s="75">
        <v>0</v>
      </c>
      <c r="J57" s="75">
        <v>0</v>
      </c>
      <c r="K57" s="34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75">
        <v>0</v>
      </c>
      <c r="E58" s="75">
        <v>2502</v>
      </c>
      <c r="F58" s="75">
        <v>2502</v>
      </c>
      <c r="G58" s="75">
        <v>0</v>
      </c>
      <c r="H58" s="75">
        <v>0</v>
      </c>
      <c r="I58" s="75">
        <v>0</v>
      </c>
      <c r="J58" s="75">
        <v>0</v>
      </c>
      <c r="K58" s="34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75">
        <v>0</v>
      </c>
      <c r="E59" s="75">
        <v>5955</v>
      </c>
      <c r="F59" s="75">
        <v>5955</v>
      </c>
      <c r="G59" s="75">
        <v>0</v>
      </c>
      <c r="H59" s="75">
        <v>0</v>
      </c>
      <c r="I59" s="75">
        <v>0</v>
      </c>
      <c r="J59" s="75">
        <v>0</v>
      </c>
      <c r="K59" s="34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75">
        <v>0</v>
      </c>
      <c r="E60" s="75">
        <v>921</v>
      </c>
      <c r="F60" s="75">
        <v>921</v>
      </c>
      <c r="G60" s="75">
        <v>0</v>
      </c>
      <c r="H60" s="75">
        <v>0</v>
      </c>
      <c r="I60" s="75">
        <v>0</v>
      </c>
      <c r="J60" s="75">
        <v>0</v>
      </c>
      <c r="K60" s="34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75">
        <v>0</v>
      </c>
      <c r="E61" s="75">
        <v>1000</v>
      </c>
      <c r="F61" s="75">
        <v>1000</v>
      </c>
      <c r="G61" s="75">
        <v>0</v>
      </c>
      <c r="H61" s="75">
        <v>0</v>
      </c>
      <c r="I61" s="75">
        <v>0</v>
      </c>
      <c r="J61" s="75">
        <v>0</v>
      </c>
      <c r="K61" s="34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75">
        <v>0</v>
      </c>
      <c r="E62" s="75">
        <f>1900+100</f>
        <v>2000</v>
      </c>
      <c r="F62" s="75">
        <v>1900</v>
      </c>
      <c r="G62" s="75">
        <v>0</v>
      </c>
      <c r="H62" s="75">
        <v>0</v>
      </c>
      <c r="I62" s="75">
        <v>0</v>
      </c>
      <c r="J62" s="75">
        <v>0</v>
      </c>
      <c r="K62" s="34">
        <v>0</v>
      </c>
    </row>
    <row r="63" spans="1:11" s="13" customFormat="1" ht="19.5" customHeight="1">
      <c r="A63" s="148" t="s">
        <v>124</v>
      </c>
      <c r="B63" s="148"/>
      <c r="C63" s="148"/>
      <c r="D63" s="59">
        <f>D62+D61+D60+D59+D58+D57+D56+D55+D54+D53+D52+D51+D50+D49+D47+D46+D45+D44+D43+D42+D41+D40+D39+D38+D37+D48</f>
        <v>8030572</v>
      </c>
      <c r="E63" s="59">
        <f aca="true" t="shared" si="3" ref="E63:K63">E62+E61+E60+E59+E58+E57+E56+E55+E54+E53+E52+E51+E50+E49+E47+E46+E45+E44+E43+E42+E41+E40+E39+E38+E37+E48</f>
        <v>8030572</v>
      </c>
      <c r="F63" s="59">
        <f t="shared" si="3"/>
        <v>309013</v>
      </c>
      <c r="G63" s="59">
        <f t="shared" si="3"/>
        <v>0</v>
      </c>
      <c r="H63" s="59">
        <f t="shared" si="3"/>
        <v>0</v>
      </c>
      <c r="I63" s="59">
        <f t="shared" si="3"/>
        <v>0</v>
      </c>
      <c r="J63" s="59">
        <f t="shared" si="3"/>
        <v>7721559</v>
      </c>
      <c r="K63" s="59">
        <f t="shared" si="3"/>
        <v>0</v>
      </c>
    </row>
    <row r="64" spans="1:11" ht="19.5" customHeight="1">
      <c r="A64" s="146" t="s">
        <v>47</v>
      </c>
      <c r="B64" s="146"/>
      <c r="C64" s="146"/>
      <c r="D64" s="76">
        <f aca="true" t="shared" si="4" ref="D64:K64">D63+D36+D22+D17</f>
        <v>8417652</v>
      </c>
      <c r="E64" s="76">
        <f t="shared" si="4"/>
        <v>8417652</v>
      </c>
      <c r="F64" s="76">
        <f t="shared" si="4"/>
        <v>449143</v>
      </c>
      <c r="G64" s="76">
        <f t="shared" si="4"/>
        <v>0</v>
      </c>
      <c r="H64" s="76">
        <f t="shared" si="4"/>
        <v>0</v>
      </c>
      <c r="I64" s="76">
        <f t="shared" si="4"/>
        <v>0</v>
      </c>
      <c r="J64" s="76">
        <f t="shared" si="4"/>
        <v>7968509</v>
      </c>
      <c r="K64" s="76">
        <f t="shared" si="4"/>
        <v>0</v>
      </c>
    </row>
    <row r="65" ht="12.75">
      <c r="D65" s="40"/>
    </row>
    <row r="66" spans="5:6" ht="12.75">
      <c r="E66" s="40"/>
      <c r="F66" s="40"/>
    </row>
    <row r="67" ht="12.75">
      <c r="E67" s="40"/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4"/>
  <sheetViews>
    <sheetView view="pageBreakPreview" zoomScale="60" workbookViewId="0" topLeftCell="A1">
      <selection activeCell="D13" sqref="D13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19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52" t="s">
        <v>13</v>
      </c>
      <c r="L1" s="152"/>
      <c r="M1" s="152"/>
    </row>
    <row r="2" spans="11:13" ht="12.75">
      <c r="K2" s="152"/>
      <c r="L2" s="152"/>
      <c r="M2" s="152"/>
    </row>
    <row r="3" spans="11:13" ht="12.75">
      <c r="K3" s="152"/>
      <c r="L3" s="152"/>
      <c r="M3" s="152"/>
    </row>
    <row r="4" spans="11:13" ht="12.75">
      <c r="K4" s="152"/>
      <c r="L4" s="152"/>
      <c r="M4" s="152"/>
    </row>
    <row r="5" spans="1:13" ht="45" customHeight="1">
      <c r="A5" s="153" t="s">
        <v>177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7"/>
      <c r="M5" s="17"/>
    </row>
    <row r="7" ht="12.75">
      <c r="M7" s="12" t="s">
        <v>30</v>
      </c>
    </row>
    <row r="8" spans="1:82" ht="20.25" customHeight="1">
      <c r="A8" s="160" t="s">
        <v>58</v>
      </c>
      <c r="B8" s="134" t="s">
        <v>18</v>
      </c>
      <c r="C8" s="163" t="s">
        <v>19</v>
      </c>
      <c r="D8" s="135" t="s">
        <v>59</v>
      </c>
      <c r="E8" s="158" t="s">
        <v>20</v>
      </c>
      <c r="F8" s="135" t="s">
        <v>43</v>
      </c>
      <c r="G8" s="135" t="s">
        <v>36</v>
      </c>
      <c r="H8" s="135"/>
      <c r="I8" s="135"/>
      <c r="J8" s="135"/>
      <c r="K8" s="135"/>
      <c r="L8" s="135"/>
      <c r="M8" s="135"/>
      <c r="CA8" s="1"/>
      <c r="CB8" s="1"/>
      <c r="CC8" s="1"/>
      <c r="CD8" s="1"/>
    </row>
    <row r="9" spans="1:82" ht="18" customHeight="1">
      <c r="A9" s="161"/>
      <c r="B9" s="134"/>
      <c r="C9" s="164"/>
      <c r="D9" s="134"/>
      <c r="E9" s="159"/>
      <c r="F9" s="135"/>
      <c r="G9" s="135" t="s">
        <v>41</v>
      </c>
      <c r="H9" s="155" t="s">
        <v>21</v>
      </c>
      <c r="I9" s="156"/>
      <c r="J9" s="156"/>
      <c r="K9" s="156"/>
      <c r="L9" s="157"/>
      <c r="M9" s="135" t="s">
        <v>42</v>
      </c>
      <c r="CA9" s="1"/>
      <c r="CB9" s="1"/>
      <c r="CC9" s="1"/>
      <c r="CD9" s="1"/>
    </row>
    <row r="10" spans="1:82" ht="69" customHeight="1">
      <c r="A10" s="162"/>
      <c r="B10" s="134"/>
      <c r="C10" s="165"/>
      <c r="D10" s="134"/>
      <c r="E10" s="159"/>
      <c r="F10" s="135"/>
      <c r="G10" s="135"/>
      <c r="H10" s="5" t="s">
        <v>178</v>
      </c>
      <c r="I10" s="5" t="s">
        <v>40</v>
      </c>
      <c r="J10" s="5" t="s">
        <v>60</v>
      </c>
      <c r="K10" s="5" t="s">
        <v>61</v>
      </c>
      <c r="L10" s="5" t="s">
        <v>179</v>
      </c>
      <c r="M10" s="135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54" t="s">
        <v>62</v>
      </c>
      <c r="B12" s="154"/>
      <c r="C12" s="154"/>
      <c r="D12" s="18">
        <f>+D13</f>
        <v>0</v>
      </c>
      <c r="E12" s="18" t="s">
        <v>103</v>
      </c>
      <c r="F12" s="75">
        <f>F13+F14+F15+F16+F17+F18</f>
        <v>507179</v>
      </c>
      <c r="G12" s="75">
        <f aca="true" t="shared" si="0" ref="G12:L12">G13+G14</f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75">
        <f t="shared" si="0"/>
        <v>0</v>
      </c>
      <c r="M12" s="75">
        <f>M13+M14+M15+M16+M17+M18</f>
        <v>507179</v>
      </c>
      <c r="CA12" s="1"/>
      <c r="CB12" s="1"/>
      <c r="CC12" s="1"/>
      <c r="CD12" s="1"/>
    </row>
    <row r="13" spans="1:82" ht="117.75" customHeight="1">
      <c r="A13" s="35" t="s">
        <v>224</v>
      </c>
      <c r="B13" s="7">
        <v>600</v>
      </c>
      <c r="C13" s="7">
        <v>60013</v>
      </c>
      <c r="D13" s="18">
        <v>0</v>
      </c>
      <c r="E13" s="79">
        <v>6050</v>
      </c>
      <c r="F13" s="75">
        <f>170000+26000</f>
        <v>196000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f>F13</f>
        <v>196000</v>
      </c>
      <c r="CA13" s="1"/>
      <c r="CB13" s="1"/>
      <c r="CC13" s="1"/>
      <c r="CD13" s="1"/>
    </row>
    <row r="14" spans="1:82" ht="78.75" customHeight="1">
      <c r="A14" s="35" t="s">
        <v>104</v>
      </c>
      <c r="B14" s="7">
        <v>600</v>
      </c>
      <c r="C14" s="7">
        <v>60013</v>
      </c>
      <c r="D14" s="18">
        <v>0</v>
      </c>
      <c r="E14" s="79">
        <v>6050</v>
      </c>
      <c r="F14" s="75">
        <v>30000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>F14</f>
        <v>30000</v>
      </c>
      <c r="CA14" s="1"/>
      <c r="CB14" s="1"/>
      <c r="CC14" s="1"/>
      <c r="CD14" s="1"/>
    </row>
    <row r="15" spans="1:82" ht="78.75" customHeight="1">
      <c r="A15" s="35" t="s">
        <v>231</v>
      </c>
      <c r="B15" s="7">
        <v>600</v>
      </c>
      <c r="C15" s="7">
        <v>60013</v>
      </c>
      <c r="D15" s="18">
        <v>0</v>
      </c>
      <c r="E15" s="79">
        <v>6050</v>
      </c>
      <c r="F15" s="75">
        <v>6000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6000</v>
      </c>
      <c r="CA15" s="1"/>
      <c r="CB15" s="1"/>
      <c r="CC15" s="1"/>
      <c r="CD15" s="1"/>
    </row>
    <row r="16" spans="1:82" ht="111.75" customHeight="1">
      <c r="A16" s="35" t="s">
        <v>229</v>
      </c>
      <c r="B16" s="7">
        <v>600</v>
      </c>
      <c r="C16" s="7">
        <v>60013</v>
      </c>
      <c r="D16" s="18">
        <v>0</v>
      </c>
      <c r="E16" s="79">
        <v>6630</v>
      </c>
      <c r="F16" s="75">
        <v>50000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50000</v>
      </c>
      <c r="CA16" s="1"/>
      <c r="CB16" s="1"/>
      <c r="CC16" s="1"/>
      <c r="CD16" s="1"/>
    </row>
    <row r="17" spans="1:82" ht="202.5" customHeight="1">
      <c r="A17" s="35" t="s">
        <v>232</v>
      </c>
      <c r="B17" s="7">
        <v>600</v>
      </c>
      <c r="C17" s="7">
        <v>60014</v>
      </c>
      <c r="D17" s="18">
        <v>0</v>
      </c>
      <c r="E17" s="79">
        <v>6620</v>
      </c>
      <c r="F17" s="75">
        <v>150179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150179</v>
      </c>
      <c r="CA17" s="1"/>
      <c r="CB17" s="1"/>
      <c r="CC17" s="1"/>
      <c r="CD17" s="1"/>
    </row>
    <row r="18" spans="1:82" ht="218.25" customHeight="1">
      <c r="A18" s="35" t="s">
        <v>234</v>
      </c>
      <c r="B18" s="7">
        <v>926</v>
      </c>
      <c r="C18" s="7">
        <v>92601</v>
      </c>
      <c r="D18" s="18">
        <v>0</v>
      </c>
      <c r="E18" s="79">
        <v>6620</v>
      </c>
      <c r="F18" s="75">
        <v>75000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75000</v>
      </c>
      <c r="CA18" s="1"/>
      <c r="CB18" s="1"/>
      <c r="CC18" s="1"/>
      <c r="CD18" s="1"/>
    </row>
    <row r="19" spans="1:82" ht="51" customHeight="1">
      <c r="A19" s="154" t="s">
        <v>63</v>
      </c>
      <c r="B19" s="154"/>
      <c r="C19" s="154"/>
      <c r="D19" s="75"/>
      <c r="E19" s="79" t="s">
        <v>103</v>
      </c>
      <c r="F19" s="80"/>
      <c r="G19" s="80"/>
      <c r="H19" s="80"/>
      <c r="I19" s="81"/>
      <c r="J19" s="81"/>
      <c r="K19" s="81"/>
      <c r="L19" s="81"/>
      <c r="M19" s="81"/>
      <c r="CA19" s="1"/>
      <c r="CB19" s="1"/>
      <c r="CC19" s="1"/>
      <c r="CD19" s="1"/>
    </row>
    <row r="20" spans="1:82" ht="19.5" customHeight="1">
      <c r="A20" s="35"/>
      <c r="B20" s="35"/>
      <c r="C20" s="35"/>
      <c r="D20" s="75"/>
      <c r="E20" s="79"/>
      <c r="F20" s="80"/>
      <c r="G20" s="80"/>
      <c r="H20" s="80"/>
      <c r="I20" s="81"/>
      <c r="J20" s="81"/>
      <c r="K20" s="81"/>
      <c r="L20" s="81"/>
      <c r="M20" s="81"/>
      <c r="CA20" s="1"/>
      <c r="CB20" s="1"/>
      <c r="CC20" s="1"/>
      <c r="CD20" s="1"/>
    </row>
    <row r="21" spans="1:13" ht="51" customHeight="1">
      <c r="A21" s="154" t="s">
        <v>64</v>
      </c>
      <c r="B21" s="154"/>
      <c r="C21" s="154"/>
      <c r="D21" s="75">
        <f>D22+D23</f>
        <v>40000</v>
      </c>
      <c r="E21" s="79" t="s">
        <v>103</v>
      </c>
      <c r="F21" s="75">
        <f>F22+F23</f>
        <v>50000</v>
      </c>
      <c r="G21" s="75">
        <f aca="true" t="shared" si="1" ref="G21:L21">G22+G23</f>
        <v>50000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75">
        <f t="shared" si="1"/>
        <v>50000</v>
      </c>
      <c r="M21" s="75">
        <v>0</v>
      </c>
    </row>
    <row r="22" spans="1:13" ht="51" customHeight="1">
      <c r="A22" s="35" t="s">
        <v>237</v>
      </c>
      <c r="B22" s="99" t="s">
        <v>88</v>
      </c>
      <c r="C22" s="99" t="s">
        <v>94</v>
      </c>
      <c r="D22" s="75">
        <v>20000</v>
      </c>
      <c r="E22" s="79">
        <v>4300</v>
      </c>
      <c r="F22" s="75">
        <v>25000</v>
      </c>
      <c r="G22" s="75">
        <v>25000</v>
      </c>
      <c r="H22" s="75">
        <v>0</v>
      </c>
      <c r="I22" s="75">
        <v>0</v>
      </c>
      <c r="J22" s="75">
        <v>0</v>
      </c>
      <c r="K22" s="75">
        <v>0</v>
      </c>
      <c r="L22" s="75">
        <v>25000</v>
      </c>
      <c r="M22" s="75">
        <v>0</v>
      </c>
    </row>
    <row r="23" spans="1:13" ht="58.5" customHeight="1">
      <c r="A23" s="35" t="s">
        <v>238</v>
      </c>
      <c r="B23" s="99" t="s">
        <v>88</v>
      </c>
      <c r="C23" s="99" t="s">
        <v>94</v>
      </c>
      <c r="D23" s="75">
        <v>20000</v>
      </c>
      <c r="E23" s="79">
        <v>4300</v>
      </c>
      <c r="F23" s="75">
        <v>25000</v>
      </c>
      <c r="G23" s="75">
        <v>25000</v>
      </c>
      <c r="H23" s="75">
        <v>0</v>
      </c>
      <c r="I23" s="75">
        <v>0</v>
      </c>
      <c r="J23" s="75">
        <v>0</v>
      </c>
      <c r="K23" s="75">
        <v>0</v>
      </c>
      <c r="L23" s="75">
        <v>25000</v>
      </c>
      <c r="M23" s="75">
        <v>0</v>
      </c>
    </row>
    <row r="24" spans="1:13" ht="15">
      <c r="A24" s="146" t="s">
        <v>47</v>
      </c>
      <c r="B24" s="146"/>
      <c r="C24" s="146"/>
      <c r="D24" s="76">
        <f>D21+D19</f>
        <v>40000</v>
      </c>
      <c r="E24" s="76" t="str">
        <f>E12</f>
        <v>X</v>
      </c>
      <c r="F24" s="76">
        <f aca="true" t="shared" si="2" ref="F24:K24">F12+F21+F19</f>
        <v>557179</v>
      </c>
      <c r="G24" s="76">
        <f t="shared" si="2"/>
        <v>50000</v>
      </c>
      <c r="H24" s="76">
        <f t="shared" si="2"/>
        <v>0</v>
      </c>
      <c r="I24" s="76">
        <f t="shared" si="2"/>
        <v>0</v>
      </c>
      <c r="J24" s="76">
        <f t="shared" si="2"/>
        <v>0</v>
      </c>
      <c r="K24" s="76">
        <f t="shared" si="2"/>
        <v>0</v>
      </c>
      <c r="L24" s="76"/>
      <c r="M24" s="76">
        <f>M12+M21+M19</f>
        <v>507179</v>
      </c>
    </row>
  </sheetData>
  <sheetProtection/>
  <mergeCells count="16">
    <mergeCell ref="E8:E10"/>
    <mergeCell ref="F8:F10"/>
    <mergeCell ref="A8:A10"/>
    <mergeCell ref="B8:B10"/>
    <mergeCell ref="C8:C10"/>
    <mergeCell ref="D8:D10"/>
    <mergeCell ref="K1:M4"/>
    <mergeCell ref="A21:C21"/>
    <mergeCell ref="A24:C24"/>
    <mergeCell ref="H9:L9"/>
    <mergeCell ref="G8:M8"/>
    <mergeCell ref="A12:C12"/>
    <mergeCell ref="A19:C19"/>
    <mergeCell ref="A5:K5"/>
    <mergeCell ref="G9:G10"/>
    <mergeCell ref="M9:M10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4">
      <selection activeCell="I17" sqref="I1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52" t="s">
        <v>16</v>
      </c>
      <c r="K1" s="152"/>
      <c r="L1" s="152"/>
      <c r="M1" s="152"/>
    </row>
    <row r="2" spans="10:13" ht="12.75">
      <c r="J2" s="152"/>
      <c r="K2" s="152"/>
      <c r="L2" s="152"/>
      <c r="M2" s="152"/>
    </row>
    <row r="3" spans="10:13" ht="12.75" customHeight="1">
      <c r="J3" s="152"/>
      <c r="K3" s="152"/>
      <c r="L3" s="152"/>
      <c r="M3" s="152"/>
    </row>
    <row r="4" spans="10:13" ht="12.75">
      <c r="J4" s="152"/>
      <c r="K4" s="152"/>
      <c r="L4" s="152"/>
      <c r="M4" s="152"/>
    </row>
    <row r="5" spans="10:13" ht="12.75">
      <c r="J5" s="152"/>
      <c r="K5" s="152"/>
      <c r="L5" s="152"/>
      <c r="M5" s="152"/>
    </row>
    <row r="6" spans="10:13" ht="12.75">
      <c r="J6" s="84"/>
      <c r="K6" s="84"/>
      <c r="L6" s="84"/>
      <c r="M6" s="84"/>
    </row>
    <row r="7" spans="1:13" ht="16.5">
      <c r="A7" s="171" t="s">
        <v>132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6.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30</v>
      </c>
    </row>
    <row r="11" spans="1:13" ht="15" customHeight="1">
      <c r="A11" s="134" t="s">
        <v>31</v>
      </c>
      <c r="B11" s="134" t="s">
        <v>53</v>
      </c>
      <c r="C11" s="135" t="s">
        <v>18</v>
      </c>
      <c r="D11" s="160" t="s">
        <v>19</v>
      </c>
      <c r="E11" s="135" t="s">
        <v>54</v>
      </c>
      <c r="F11" s="155" t="s">
        <v>55</v>
      </c>
      <c r="G11" s="156"/>
      <c r="H11" s="156"/>
      <c r="I11" s="157"/>
      <c r="J11" s="155" t="s">
        <v>56</v>
      </c>
      <c r="K11" s="156"/>
      <c r="L11" s="157"/>
      <c r="M11" s="135" t="s">
        <v>57</v>
      </c>
    </row>
    <row r="12" spans="1:13" ht="25.5" customHeight="1">
      <c r="A12" s="134"/>
      <c r="B12" s="134"/>
      <c r="C12" s="135"/>
      <c r="D12" s="161"/>
      <c r="E12" s="135"/>
      <c r="F12" s="135" t="s">
        <v>83</v>
      </c>
      <c r="G12" s="166" t="s">
        <v>84</v>
      </c>
      <c r="H12" s="167"/>
      <c r="I12" s="168"/>
      <c r="J12" s="135" t="s">
        <v>83</v>
      </c>
      <c r="K12" s="166" t="s">
        <v>133</v>
      </c>
      <c r="L12" s="168"/>
      <c r="M12" s="135"/>
    </row>
    <row r="13" spans="1:13" ht="23.25" customHeight="1">
      <c r="A13" s="134"/>
      <c r="B13" s="134"/>
      <c r="C13" s="135"/>
      <c r="D13" s="161"/>
      <c r="E13" s="135"/>
      <c r="F13" s="135"/>
      <c r="G13" s="135" t="s">
        <v>134</v>
      </c>
      <c r="H13" s="135"/>
      <c r="I13" s="169" t="s">
        <v>135</v>
      </c>
      <c r="J13" s="135"/>
      <c r="K13" s="135" t="s">
        <v>136</v>
      </c>
      <c r="L13" s="126" t="s">
        <v>137</v>
      </c>
      <c r="M13" s="135"/>
    </row>
    <row r="14" spans="1:13" ht="35.25" customHeight="1">
      <c r="A14" s="134"/>
      <c r="B14" s="134"/>
      <c r="C14" s="135"/>
      <c r="D14" s="162"/>
      <c r="E14" s="135"/>
      <c r="F14" s="135"/>
      <c r="G14" s="64" t="s">
        <v>138</v>
      </c>
      <c r="H14" s="64" t="s">
        <v>139</v>
      </c>
      <c r="I14" s="170"/>
      <c r="J14" s="135"/>
      <c r="K14" s="135"/>
      <c r="L14" s="126"/>
      <c r="M14" s="135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9">
        <v>1</v>
      </c>
      <c r="B16" s="31" t="s">
        <v>140</v>
      </c>
      <c r="C16" s="66">
        <v>801</v>
      </c>
      <c r="D16" s="31">
        <v>80104</v>
      </c>
      <c r="E16" s="67">
        <v>5618</v>
      </c>
      <c r="F16" s="67">
        <f>2527169+9000</f>
        <v>2536169</v>
      </c>
      <c r="G16" s="67">
        <v>1919719</v>
      </c>
      <c r="H16" s="67">
        <v>0</v>
      </c>
      <c r="I16" s="67">
        <v>9000</v>
      </c>
      <c r="J16" s="67">
        <f>2524223+9000</f>
        <v>2533223</v>
      </c>
      <c r="K16" s="67">
        <v>0</v>
      </c>
      <c r="L16" s="67">
        <v>9000</v>
      </c>
      <c r="M16" s="67">
        <v>8564</v>
      </c>
      <c r="N16" s="63"/>
    </row>
    <row r="17" spans="1:14" ht="21.75" customHeight="1">
      <c r="A17" s="9">
        <v>2</v>
      </c>
      <c r="B17" s="31" t="s">
        <v>99</v>
      </c>
      <c r="C17" s="66">
        <v>926</v>
      </c>
      <c r="D17" s="31">
        <v>92601</v>
      </c>
      <c r="E17" s="67">
        <v>55047</v>
      </c>
      <c r="F17" s="67">
        <f>1554960+25000</f>
        <v>1579960</v>
      </c>
      <c r="G17" s="67">
        <f>658560</f>
        <v>658560</v>
      </c>
      <c r="H17" s="67">
        <v>0</v>
      </c>
      <c r="I17" s="67">
        <v>25000</v>
      </c>
      <c r="J17" s="67">
        <f>1553364+25000</f>
        <v>1578364</v>
      </c>
      <c r="K17" s="67">
        <v>0</v>
      </c>
      <c r="L17" s="67">
        <v>25000</v>
      </c>
      <c r="M17" s="67">
        <v>56643</v>
      </c>
      <c r="N17" s="63"/>
    </row>
    <row r="18" spans="1:13" s="13" customFormat="1" ht="21.75" customHeight="1">
      <c r="A18" s="148" t="s">
        <v>47</v>
      </c>
      <c r="B18" s="148"/>
      <c r="C18" s="14"/>
      <c r="D18" s="14"/>
      <c r="E18" s="68">
        <f>E17+E16</f>
        <v>60665</v>
      </c>
      <c r="F18" s="68">
        <f aca="true" t="shared" si="0" ref="F18:M18">F17+F16</f>
        <v>4116129</v>
      </c>
      <c r="G18" s="68">
        <f t="shared" si="0"/>
        <v>2578279</v>
      </c>
      <c r="H18" s="68">
        <f t="shared" si="0"/>
        <v>0</v>
      </c>
      <c r="I18" s="68">
        <f t="shared" si="0"/>
        <v>34000</v>
      </c>
      <c r="J18" s="68">
        <f t="shared" si="0"/>
        <v>4111587</v>
      </c>
      <c r="K18" s="68">
        <f t="shared" si="0"/>
        <v>0</v>
      </c>
      <c r="L18" s="68">
        <f t="shared" si="0"/>
        <v>34000</v>
      </c>
      <c r="M18" s="68">
        <f t="shared" si="0"/>
        <v>65207</v>
      </c>
    </row>
    <row r="19" ht="4.5" customHeight="1"/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8" sqref="F1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52" t="s">
        <v>8</v>
      </c>
      <c r="F1" s="152"/>
      <c r="G1" s="152"/>
      <c r="H1" s="152"/>
    </row>
    <row r="2" spans="5:8" ht="12.75">
      <c r="E2" s="152"/>
      <c r="F2" s="152"/>
      <c r="G2" s="152"/>
      <c r="H2" s="152"/>
    </row>
    <row r="3" spans="5:8" ht="12.75">
      <c r="E3" s="152"/>
      <c r="F3" s="152"/>
      <c r="G3" s="152"/>
      <c r="H3" s="152"/>
    </row>
    <row r="4" spans="5:8" ht="12.75">
      <c r="E4" s="152"/>
      <c r="F4" s="152"/>
      <c r="G4" s="152"/>
      <c r="H4" s="152"/>
    </row>
    <row r="5" spans="5:8" ht="12.75">
      <c r="E5" s="152"/>
      <c r="F5" s="152"/>
      <c r="G5" s="152"/>
      <c r="H5" s="152"/>
    </row>
    <row r="6" spans="1:8" ht="16.5">
      <c r="A6" s="171" t="s">
        <v>142</v>
      </c>
      <c r="B6" s="171"/>
      <c r="C6" s="171"/>
      <c r="D6" s="171"/>
      <c r="E6" s="171"/>
      <c r="F6" s="171"/>
      <c r="G6" s="171"/>
      <c r="H6" s="171"/>
    </row>
    <row r="7" spans="1:8" ht="16.5">
      <c r="A7" s="171"/>
      <c r="B7" s="171"/>
      <c r="C7" s="171"/>
      <c r="D7" s="171"/>
      <c r="E7" s="171"/>
      <c r="F7" s="171"/>
      <c r="G7" s="171"/>
      <c r="H7" s="171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3" t="s">
        <v>30</v>
      </c>
    </row>
    <row r="10" spans="1:8" ht="55.5" customHeight="1">
      <c r="A10" s="16" t="s">
        <v>31</v>
      </c>
      <c r="B10" s="16" t="s">
        <v>53</v>
      </c>
      <c r="C10" s="5" t="s">
        <v>18</v>
      </c>
      <c r="D10" s="65" t="s">
        <v>19</v>
      </c>
      <c r="E10" s="5" t="s">
        <v>54</v>
      </c>
      <c r="F10" s="5" t="s">
        <v>143</v>
      </c>
      <c r="G10" s="5" t="s">
        <v>56</v>
      </c>
      <c r="H10" s="5" t="s">
        <v>57</v>
      </c>
    </row>
    <row r="11" spans="1:8" ht="7.5" customHeight="1">
      <c r="A11" s="6">
        <v>1</v>
      </c>
      <c r="B11" s="6">
        <v>2</v>
      </c>
      <c r="C11" s="6">
        <v>3</v>
      </c>
      <c r="D11" s="6">
        <v>4</v>
      </c>
      <c r="E11" s="6">
        <v>4</v>
      </c>
      <c r="F11" s="6">
        <v>5</v>
      </c>
      <c r="G11" s="6">
        <v>7</v>
      </c>
      <c r="H11" s="6">
        <v>9</v>
      </c>
    </row>
    <row r="12" spans="1:8" ht="21.75" customHeight="1">
      <c r="A12" s="8">
        <v>1</v>
      </c>
      <c r="B12" s="31" t="s">
        <v>116</v>
      </c>
      <c r="C12" s="31">
        <v>801</v>
      </c>
      <c r="D12" s="31">
        <v>80101</v>
      </c>
      <c r="E12" s="67">
        <v>25011</v>
      </c>
      <c r="F12" s="67">
        <f>43000+5000</f>
        <v>48000</v>
      </c>
      <c r="G12" s="67">
        <f>62000+5000</f>
        <v>67000</v>
      </c>
      <c r="H12" s="67">
        <f>E12+F12-G12</f>
        <v>6011</v>
      </c>
    </row>
    <row r="13" spans="1:8" ht="21.75" customHeight="1">
      <c r="A13" s="8">
        <v>2</v>
      </c>
      <c r="B13" s="31" t="s">
        <v>141</v>
      </c>
      <c r="C13" s="31">
        <v>801</v>
      </c>
      <c r="D13" s="31">
        <v>80110</v>
      </c>
      <c r="E13" s="67">
        <v>3000</v>
      </c>
      <c r="F13" s="67">
        <f>38000+30000</f>
        <v>68000</v>
      </c>
      <c r="G13" s="67">
        <f>26000+30000</f>
        <v>56000</v>
      </c>
      <c r="H13" s="67">
        <f>E13+F13-G13</f>
        <v>15000</v>
      </c>
    </row>
    <row r="14" spans="1:8" ht="21.75" customHeight="1">
      <c r="A14" s="8">
        <v>3</v>
      </c>
      <c r="B14" s="31" t="s">
        <v>159</v>
      </c>
      <c r="C14" s="31">
        <v>801</v>
      </c>
      <c r="D14" s="31">
        <v>80148</v>
      </c>
      <c r="E14" s="67">
        <v>0</v>
      </c>
      <c r="F14" s="67">
        <v>409140</v>
      </c>
      <c r="G14" s="67">
        <v>400534</v>
      </c>
      <c r="H14" s="67">
        <f>E14+F14-G14</f>
        <v>8606</v>
      </c>
    </row>
    <row r="15" spans="1:8" s="13" customFormat="1" ht="21.75" customHeight="1">
      <c r="A15" s="148" t="s">
        <v>47</v>
      </c>
      <c r="B15" s="148"/>
      <c r="C15" s="14"/>
      <c r="D15" s="14"/>
      <c r="E15" s="68">
        <f>E14+E13+E12</f>
        <v>28011</v>
      </c>
      <c r="F15" s="68">
        <f>F14+F13+F12</f>
        <v>525140</v>
      </c>
      <c r="G15" s="68">
        <f>G14+G13+G12</f>
        <v>523534</v>
      </c>
      <c r="H15" s="68">
        <f>H14+H13+H12</f>
        <v>29617</v>
      </c>
    </row>
    <row r="16" ht="4.5" customHeight="1"/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1" sqref="E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36" t="s">
        <v>9</v>
      </c>
      <c r="E1" s="136"/>
    </row>
    <row r="2" spans="4:5" ht="12.75">
      <c r="D2" s="136"/>
      <c r="E2" s="136"/>
    </row>
    <row r="3" spans="4:5" ht="32.25" customHeight="1">
      <c r="D3" s="136"/>
      <c r="E3" s="136"/>
    </row>
    <row r="5" spans="1:5" ht="19.5" customHeight="1">
      <c r="A5" s="128" t="s">
        <v>194</v>
      </c>
      <c r="B5" s="128"/>
      <c r="C5" s="128"/>
      <c r="D5" s="128"/>
      <c r="E5" s="128"/>
    </row>
    <row r="6" spans="4:5" ht="19.5" customHeight="1">
      <c r="D6" s="15"/>
      <c r="E6" s="15"/>
    </row>
    <row r="7" ht="19.5" customHeight="1">
      <c r="E7" s="32" t="s">
        <v>30</v>
      </c>
    </row>
    <row r="8" spans="1:5" ht="19.5" customHeight="1">
      <c r="A8" s="16" t="s">
        <v>31</v>
      </c>
      <c r="B8" s="16" t="s">
        <v>18</v>
      </c>
      <c r="C8" s="16" t="s">
        <v>19</v>
      </c>
      <c r="D8" s="16" t="s">
        <v>85</v>
      </c>
      <c r="E8" s="16" t="s">
        <v>86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36" t="s">
        <v>22</v>
      </c>
      <c r="B10" s="36">
        <v>801</v>
      </c>
      <c r="C10" s="36">
        <v>80110</v>
      </c>
      <c r="D10" s="60" t="s">
        <v>118</v>
      </c>
      <c r="E10" s="61">
        <v>272800</v>
      </c>
    </row>
    <row r="11" spans="1:5" ht="30" customHeight="1">
      <c r="A11" s="36" t="s">
        <v>23</v>
      </c>
      <c r="B11" s="36">
        <v>921</v>
      </c>
      <c r="C11" s="36">
        <v>92109</v>
      </c>
      <c r="D11" s="60" t="s">
        <v>120</v>
      </c>
      <c r="E11" s="61">
        <f>672300+20000+2000</f>
        <v>694300</v>
      </c>
    </row>
    <row r="12" spans="1:6" ht="30" customHeight="1">
      <c r="A12" s="36" t="s">
        <v>24</v>
      </c>
      <c r="B12" s="36">
        <v>921</v>
      </c>
      <c r="C12" s="36">
        <v>92116</v>
      </c>
      <c r="D12" s="60" t="s">
        <v>120</v>
      </c>
      <c r="E12" s="61">
        <v>620000</v>
      </c>
      <c r="F12" s="40"/>
    </row>
    <row r="13" spans="1:5" ht="30" customHeight="1">
      <c r="A13" s="36" t="s">
        <v>17</v>
      </c>
      <c r="B13" s="36">
        <v>921</v>
      </c>
      <c r="C13" s="36">
        <v>92118</v>
      </c>
      <c r="D13" s="60" t="s">
        <v>121</v>
      </c>
      <c r="E13" s="61">
        <v>209000</v>
      </c>
    </row>
    <row r="14" spans="1:5" ht="30" customHeight="1">
      <c r="A14" s="172" t="s">
        <v>47</v>
      </c>
      <c r="B14" s="172"/>
      <c r="C14" s="172"/>
      <c r="D14" s="172"/>
      <c r="E14" s="59">
        <f>E13+E12+E11+E10</f>
        <v>1796100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2009-06-19T06:36:40Z</cp:lastPrinted>
  <dcterms:created xsi:type="dcterms:W3CDTF">1998-12-09T13:02:10Z</dcterms:created>
  <dcterms:modified xsi:type="dcterms:W3CDTF">2009-07-02T11:30:16Z</dcterms:modified>
  <cp:category/>
  <cp:version/>
  <cp:contentType/>
  <cp:contentStatus/>
</cp:coreProperties>
</file>