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5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" sheetId="7" r:id="rId7"/>
  </sheets>
  <definedNames>
    <definedName name="_xlnm.Print_Titles" localSheetId="0">'2'!$11:$11</definedName>
    <definedName name="_xlnm.Print_Titles" localSheetId="1">'3'!$10:$10</definedName>
    <definedName name="_xlnm.Print_Titles" localSheetId="3">'5'!$10:$10</definedName>
  </definedNames>
  <calcPr fullCalcOnLoad="1"/>
</workbook>
</file>

<file path=xl/sharedStrings.xml><?xml version="1.0" encoding="utf-8"?>
<sst xmlns="http://schemas.openxmlformats.org/spreadsheetml/2006/main" count="557" uniqueCount="268">
  <si>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</si>
  <si>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</si>
  <si>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</si>
  <si>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</si>
  <si>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</si>
  <si>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</si>
  <si>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</si>
  <si>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</si>
  <si>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</si>
  <si>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</si>
  <si>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</si>
  <si>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</si>
  <si>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</si>
  <si>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</si>
  <si>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</si>
  <si>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</si>
  <si>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</si>
  <si>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</si>
  <si>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</si>
  <si>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</si>
  <si>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</si>
  <si>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</si>
  <si>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</si>
  <si>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</si>
  <si>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</si>
  <si>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</si>
  <si>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</si>
  <si>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</si>
  <si>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</si>
  <si>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</si>
  <si>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</si>
  <si>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</si>
  <si>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</si>
  <si>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</si>
  <si>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</si>
  <si>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</si>
  <si>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</si>
  <si>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</si>
  <si>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</si>
  <si>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Rozdz.</t>
  </si>
  <si>
    <t>w złotych</t>
  </si>
  <si>
    <t>Ogółem kwota dotacji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</si>
  <si>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</si>
  <si>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</si>
  <si>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</si>
  <si>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</si>
  <si>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</si>
  <si>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</si>
  <si>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</si>
  <si>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</si>
  <si>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</si>
  <si>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</si>
  <si>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</si>
  <si>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</si>
  <si>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2008 r.</t>
  </si>
  <si>
    <t>Dochody i wydatki związane z realizacją zadań z zakresu administracji rządowej i innych zadań zleconych odrębnymi ustawami w 2007 r.</t>
  </si>
  <si>
    <t>2009 r.</t>
  </si>
  <si>
    <t>Lp.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</si>
  <si>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</si>
  <si>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</si>
  <si>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</si>
  <si>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</si>
  <si>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</si>
  <si>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</si>
  <si>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</si>
  <si>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</si>
  <si>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</si>
  <si>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</si>
  <si>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</si>
  <si>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</si>
  <si>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</si>
  <si>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</si>
  <si>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</si>
  <si>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</si>
  <si>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</si>
  <si>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</si>
  <si>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</si>
  <si>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</si>
  <si>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</si>
  <si>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</si>
  <si>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</si>
  <si>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</si>
  <si>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</si>
  <si>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</si>
  <si>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</si>
  <si>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</si>
  <si>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</si>
  <si>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</si>
  <si>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</si>
  <si>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</si>
  <si>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1.1</t>
  </si>
  <si>
    <t>Działanie:</t>
  </si>
  <si>
    <t>Nazwa projektu:</t>
  </si>
  <si>
    <t>Razem wydatki:</t>
  </si>
  <si>
    <t>z tego: 2006 r.</t>
  </si>
  <si>
    <t>Wydatki bieżące razem:</t>
  </si>
  <si>
    <t>Ogółem (1+2)</t>
  </si>
  <si>
    <t>* wydatki obejmują wydatki bieżące i majątkowe (dotyczące inwestycji rocznych i ujętych w wieloletnim programie inwestycyjnym)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</si>
  <si>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</si>
  <si>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</si>
  <si>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</si>
  <si>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</si>
  <si>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</si>
  <si>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</si>
  <si>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</si>
  <si>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</si>
  <si>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</si>
  <si>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</si>
  <si>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</si>
  <si>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</si>
  <si>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</si>
  <si>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</si>
  <si>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</si>
  <si>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</si>
  <si>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</si>
  <si>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</si>
  <si>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</si>
  <si>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</si>
  <si>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</si>
  <si>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</si>
  <si>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</si>
  <si>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</si>
  <si>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</si>
  <si>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</si>
  <si>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</si>
  <si>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</si>
  <si>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§ 941</t>
  </si>
  <si>
    <t>§ 942</t>
  </si>
  <si>
    <t>§ 943</t>
  </si>
  <si>
    <t>§ 944</t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</si>
  <si>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</si>
  <si>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</si>
  <si>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</si>
  <si>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</si>
  <si>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</si>
  <si>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</si>
  <si>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</si>
  <si>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</si>
  <si>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</si>
  <si>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</si>
  <si>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</si>
  <si>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10.</t>
  </si>
  <si>
    <t>Inne źródła (wolne środki)</t>
  </si>
  <si>
    <t>Nazwa zadania inwestycyjnego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</si>
  <si>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</si>
  <si>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</si>
  <si>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</si>
  <si>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</si>
  <si>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</si>
  <si>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</si>
  <si>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</si>
  <si>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</si>
  <si>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</si>
  <si>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</si>
  <si>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</si>
  <si>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</si>
  <si>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</si>
  <si>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</si>
  <si>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</si>
  <si>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01095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</si>
  <si>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</si>
  <si>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</si>
  <si>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</si>
  <si>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</si>
  <si>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</si>
  <si>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</si>
  <si>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</si>
  <si>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Razem dział 751</t>
  </si>
  <si>
    <t>Razem dział 852</t>
  </si>
  <si>
    <t>Miejski Ośrodek Sportu i Rekreacji w Pińczowie</t>
  </si>
  <si>
    <t>Zespół Ekonomiczno Administracyjny Szkół i Przedszkoli w Pińczowie</t>
  </si>
  <si>
    <t>Utrzymanie terenów sportowych</t>
  </si>
  <si>
    <t>Utrzymanie przedszkoli</t>
  </si>
  <si>
    <t>Pływalnia Miejska w Pińczowie</t>
  </si>
  <si>
    <t>Utrzymanie pływalni</t>
  </si>
  <si>
    <t>Kanalizacja ulicy Kluka w Pińczowie</t>
  </si>
  <si>
    <t>Razem dział 801</t>
  </si>
  <si>
    <t>Przebudowa drogi w Bogucicach (za szkołą)</t>
  </si>
  <si>
    <t>Przebudowa drogi Orkanów</t>
  </si>
  <si>
    <t>Odbudowa infrastruktury drogowej - droga gminna Skrzypiów - Zakrzów - etap VII</t>
  </si>
  <si>
    <t>Program ciepłownictwa i termomodernizacji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</si>
  <si>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</si>
  <si>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</si>
  <si>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</si>
  <si>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chodnika w Bogucicach - projekt</t>
  </si>
  <si>
    <t>Zadania inwestycyjne roczne w 2007 r.</t>
  </si>
  <si>
    <t>Razem dzial 921</t>
  </si>
  <si>
    <t>Plan wydatków na wieloletnie programy inwestycyjne w latach 2007 - 2009</t>
  </si>
  <si>
    <t>Rezem dział 926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</si>
  <si>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</si>
  <si>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</si>
  <si>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</si>
  <si>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Budowa oświetlenia drogowego w Podłężu</t>
  </si>
  <si>
    <t>Budowa oświetlenia ulicznego w miejscowości Marzęcin</t>
  </si>
  <si>
    <t>Budowa dojścia od ul. Republiki Pińczowskiej do obiektów Gimnazjum nr 2 im. Adolfa Dygasińskiego w Pińczowie przy ul. 1 Maja 5a</t>
  </si>
  <si>
    <t>Przebudowa oświetlenia na Placu Konstytucji 3 Maja</t>
  </si>
  <si>
    <t>Budowa oświetlenia ulicznego wzdłuż ul. 3 Maja w Pińczowie</t>
  </si>
  <si>
    <t>Przebudowa chodnika na ulicy Wdowiej w Pińczowie</t>
  </si>
  <si>
    <t>Dokończenie przebudowy chodnika na ul. Klasztornej w Pińczowie</t>
  </si>
  <si>
    <t>Przebudowa drogi Zagorzyce-Teresów</t>
  </si>
  <si>
    <t>Budowa oświetlenia drogowego w Szczypcu</t>
  </si>
  <si>
    <t>Wymiana kanalizacji deszczowej na ul. Pałęki</t>
  </si>
  <si>
    <t>Przebudowa oświetlenia na oś. Grodzisko w Pińczowie</t>
  </si>
  <si>
    <t>Przebudowa kotłowni opalanej koksem na gazową na ul. Dygasińskiego w Pińczowie</t>
  </si>
  <si>
    <t>Przebudowa ulicy Szarych Szeregów w Pińczowie</t>
  </si>
  <si>
    <t>Przebudowa, modernizacja i wyposażenie Pińczowskiego Samorzadowego Centrum Kultury w Pińczowie</t>
  </si>
  <si>
    <t>Przebudowa drogi w Woli Zagojskiej Górnej</t>
  </si>
  <si>
    <t>Remont dachów na osiedlu Gacki</t>
  </si>
  <si>
    <t>Remont pomieszczeń poddasza budynku po byłej Szkole Podstawowej w Skowronnie Dolnym z przeznaczeniem na mieszkania socjalne</t>
  </si>
  <si>
    <t>Przebudowa drogi w Brześciu</t>
  </si>
  <si>
    <t>A. 30 000     
B. 0
C. 0
D. 0</t>
  </si>
  <si>
    <t>Budowa wodociągu w Krzyżanowicach Średnich 2007-2008</t>
  </si>
  <si>
    <t>Budowa wodociągu w Krzyżanowicach Dolnych 2007-2008</t>
  </si>
  <si>
    <t>Budowa wodociągu Mysiak 2007-2008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</si>
  <si>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</si>
  <si>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</si>
  <si>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</si>
  <si>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</si>
  <si>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</si>
  <si>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przydomowych oczyszczalni ścieków w miejscowości Orkanów 2007-2008</t>
  </si>
  <si>
    <t>Budowa wodociągu w miejscowości Kowala 2007-2009</t>
  </si>
  <si>
    <t>Partycypacja w kosztach przebudowy ulicy Bat. Chłopskich w Pińczowie 2006-2008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</si>
  <si>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</si>
  <si>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</si>
  <si>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Republiki Pińczowskiej (projekt) 2006-2007</t>
  </si>
  <si>
    <t>Budowa ulicy Grodziskowej wraz z łącznikiem do ul. Grunwaldzkiej w Pińczowie - projekt i wykonanie 2006-2009</t>
  </si>
  <si>
    <t>Budowa drogi na oś. Witosa w Pińczowie 2007-2008</t>
  </si>
  <si>
    <t>Budowa ulicy Reduty Mławskiej w Pińczowie 2006-2007</t>
  </si>
  <si>
    <t>Przebudowa drogi wraz z budową chodnika i parkingu na osiedlu Gacki 2007-2008</t>
  </si>
  <si>
    <t>Przebudowa ulicy Polnej w Pińczowie 2007-2008</t>
  </si>
  <si>
    <t>Budowa ulicy Łąkowej (dokończenie) 2007-2008</t>
  </si>
  <si>
    <t>Przebudowa ulicy 7 Źrodeł w Pińczowie 2007-2008</t>
  </si>
  <si>
    <t>Mieszkania socjalne 2007-2008</t>
  </si>
  <si>
    <t>Zmiana sposobu użytkowania budynku po byłej siedzibie Ośrodka Weterynarii w Leszczach na odrębne lokale socjalne 2007-2008</t>
  </si>
  <si>
    <t>Wymiana stropów i pokrycia dachowego Szkoły Podstawowej Nr 1 w Pińczowie 2007-2008</t>
  </si>
  <si>
    <t>Budowa zjazdu wraz z przebudową układu komunikacyjnego przy Gimnazjum nr 1 w Pińczowie 2007-2008</t>
  </si>
  <si>
    <t>Dobudowa oświetlenia drogowego w Unikowie 2006-2007</t>
  </si>
  <si>
    <t>Budowa oświetlenia drogowego przy drodze powiatowej Pińczów-Skowronno Dolne 2007-2008</t>
  </si>
  <si>
    <t>Budowa hali widowiskowo-sportowej i otwartej uzupełniającej infrastrultury sportowo-rekreacyjnej z niezbędną infrastrukturą techniczną na nieruchomościach położonych w Pińczowie obręb 12 stanowiących własność Powiatu i Gminy 2007-2008</t>
  </si>
  <si>
    <t>Budowa ulicy Przemysłowej - projekt i wykonastwo 2006-2008</t>
  </si>
  <si>
    <t>Budowa ciągu pieszego tzw. Stoku - projekt i wykonastwo 2006-2008</t>
  </si>
  <si>
    <t>Przebudowa targowicy miejskiej przy ul. Republiki Pińczowskiej w Pińczowie 2007-2008</t>
  </si>
  <si>
    <t>Dofinansowanie zakupu samochodu rozpoznawczo-ratowniczego z napędem terenowym dla Państwowej Straży Pożarnej</t>
  </si>
  <si>
    <t xml:space="preserve">A.49 685 - BGK   
B. 0
C. 0
D. 0 </t>
  </si>
  <si>
    <t xml:space="preserve">A.79 685 zł    
B. 0
C. 0
D. 0 </t>
  </si>
  <si>
    <t>Partycypacja w kosztach remontu chodnika w m. Pińczów od mostu na rz. Nida w stronę Skrzypiowa w ciągu drogi wojewódzkiej nr 766</t>
  </si>
  <si>
    <t>Plan przychodów i wydatków zakładów budżetowych, gospodarstw pomocniczych  oraz dochodów i wydatków dochodów własnych na 2007 r.</t>
  </si>
  <si>
    <t>Przebudowa drogi do oś. Witosa</t>
  </si>
  <si>
    <t>Projekt przebudowy dróg w Borkowie</t>
  </si>
  <si>
    <r>
      <t xml:space="preserve">Program: </t>
    </r>
    <r>
      <rPr>
        <b/>
        <sz val="8"/>
        <rFont val="Arial"/>
        <family val="2"/>
      </rPr>
      <t>Uczenie się przez całe życie</t>
    </r>
  </si>
  <si>
    <r>
      <t xml:space="preserve">Priorytet: </t>
    </r>
    <r>
      <rPr>
        <b/>
        <sz val="8"/>
        <rFont val="Arial"/>
        <family val="2"/>
      </rPr>
      <t>Wizyty przygotowawcze dla akcji zdecentrolizowanych</t>
    </r>
    <r>
      <rPr>
        <sz val="8"/>
        <rFont val="Arial"/>
        <family val="0"/>
      </rPr>
      <t xml:space="preserve">                                            </t>
    </r>
  </si>
  <si>
    <t>Wydatki na programy i projekty realizowane ze środków pochodzących z funduszy strukturalnych i Funduszu Spójności</t>
  </si>
  <si>
    <t>1.2</t>
  </si>
  <si>
    <r>
      <t xml:space="preserve">Program: </t>
    </r>
    <r>
      <rPr>
        <b/>
        <sz val="8"/>
        <rFont val="Arial"/>
        <family val="2"/>
      </rPr>
      <t>Socrates</t>
    </r>
  </si>
  <si>
    <r>
      <t xml:space="preserve">Priorytet: </t>
    </r>
    <r>
      <rPr>
        <b/>
        <sz val="8"/>
        <rFont val="Arial"/>
        <family val="2"/>
      </rPr>
      <t>Comenius</t>
    </r>
    <r>
      <rPr>
        <sz val="8"/>
        <rFont val="Arial"/>
        <family val="0"/>
      </rPr>
      <t xml:space="preserve">                                       </t>
    </r>
  </si>
  <si>
    <t xml:space="preserve">Załacznik nr 8 do uchwały Rady Miejskiej w Pińczowie nr ……..…………                                z dnia ……………… w sprawie zmian w budżecie Gminy na 2007 </t>
  </si>
  <si>
    <t>Załącznik nr 13 do uchwały Nr VII/36/2007 Rady Miejskiej w Pińczowie z dnia 28 lutego 2007r.</t>
  </si>
  <si>
    <t xml:space="preserve">Załącznik nr 2                                                                                                              do uchwały Rady Miejskiej nr XIX/156/07 z dnia 28 grudnia 2007 r.                             w sprawie zmian w budżecie Gminy na 2007 </t>
  </si>
  <si>
    <t>Przewodniczący</t>
  </si>
  <si>
    <t>Rady Miejskiej</t>
  </si>
  <si>
    <t>Marek OMASTA</t>
  </si>
  <si>
    <t xml:space="preserve">Załącznik nr 3                                                                                                              do uchwały Rady Miejskiej nr XIX/156/07 z dnia 28 grudnia 2007 r.                             w sprawie zmian w budżecie Gminy na 2007 </t>
  </si>
  <si>
    <t>Marek Omasta</t>
  </si>
  <si>
    <t xml:space="preserve">Załącznik nr 4                                                                             do uchwały Rady Miejskiej nr XIX/156/07                                           z dnia 28 grudnia 2007 r.                                                                                                                     w sprawie zmian w budżecie Gminy na 2007 </t>
  </si>
  <si>
    <t xml:space="preserve"> </t>
  </si>
  <si>
    <t xml:space="preserve">Załącznik nr 5                                                                                                              do uchwały Rady Miejskiej nr XIX/156/07 z dnia 28 grudnia 2007 r.        w sprawie zmian w budżecie Gminy na 2007 </t>
  </si>
  <si>
    <t>Załącznik nr 6                                                                                                             do uchwały Rady Miejskiej nr XIX/156/07 z dnia 28 grudnia 2007 r.        w sprawie zmian w budżecie Gminy na 2007</t>
  </si>
  <si>
    <t>Załącznik nr 7                                                                                                              do uchwały Rady Miejskiej nr XIX/156/07                            z dnia 28 grudnia 2007 r.         w sprawie zmian w budżecie Gminy na 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</si>
</sst>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7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0" fontId="9" fillId="0" borderId="0" xfId="18" applyFont="1">
      <alignment/>
      <protection/>
    </xf>
    <xf numFmtId="0" fontId="10" fillId="0" borderId="1" xfId="18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8" fillId="0" borderId="0" xfId="18" applyFont="1">
      <alignment/>
      <protection/>
    </xf>
    <xf numFmtId="0" fontId="16" fillId="0" borderId="0" xfId="0" applyFont="1" applyAlignment="1">
      <alignment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3" fontId="25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8" fillId="0" borderId="1" xfId="18" applyFont="1" applyBorder="1" applyAlignment="1">
      <alignment horizontal="center"/>
      <protection/>
    </xf>
    <xf numFmtId="0" fontId="9" fillId="0" borderId="1" xfId="18" applyNumberFormat="1" applyFont="1" applyBorder="1" applyAlignment="1">
      <alignment wrapText="1"/>
      <protection/>
    </xf>
    <xf numFmtId="0" fontId="9" fillId="0" borderId="1" xfId="18" applyFont="1" applyBorder="1">
      <alignment/>
      <protection/>
    </xf>
    <xf numFmtId="3" fontId="8" fillId="0" borderId="1" xfId="18" applyNumberFormat="1" applyFont="1" applyBorder="1" applyAlignment="1">
      <alignment horizontal="center"/>
      <protection/>
    </xf>
    <xf numFmtId="3" fontId="8" fillId="0" borderId="1" xfId="18" applyNumberFormat="1" applyFont="1" applyBorder="1">
      <alignment/>
      <protection/>
    </xf>
    <xf numFmtId="3" fontId="9" fillId="0" borderId="1" xfId="18" applyNumberFormat="1" applyFont="1" applyBorder="1">
      <alignment/>
      <protection/>
    </xf>
    <xf numFmtId="3" fontId="9" fillId="0" borderId="1" xfId="18" applyNumberFormat="1" applyFont="1" applyBorder="1">
      <alignment/>
      <protection/>
    </xf>
    <xf numFmtId="0" fontId="11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9" fillId="0" borderId="0" xfId="18" applyNumberFormat="1" applyFont="1" applyAlignment="1">
      <alignment horizontal="left" wrapText="1"/>
      <protection/>
    </xf>
    <xf numFmtId="0" fontId="9" fillId="0" borderId="0" xfId="18" applyFont="1" applyAlignment="1">
      <alignment horizontal="center"/>
      <protection/>
    </xf>
    <xf numFmtId="3" fontId="8" fillId="0" borderId="1" xfId="18" applyNumberFormat="1" applyFont="1" applyBorder="1" applyAlignment="1">
      <alignment horizontal="center"/>
      <protection/>
    </xf>
    <xf numFmtId="0" fontId="13" fillId="0" borderId="0" xfId="18" applyFont="1" applyAlignment="1">
      <alignment horizontal="center"/>
      <protection/>
    </xf>
    <xf numFmtId="0" fontId="8" fillId="2" borderId="1" xfId="18" applyFont="1" applyFill="1" applyBorder="1" applyAlignment="1">
      <alignment horizontal="center" vertical="center" wrapText="1"/>
      <protection/>
    </xf>
    <xf numFmtId="0" fontId="8" fillId="2" borderId="1" xfId="18" applyFont="1" applyFill="1" applyBorder="1" applyAlignment="1">
      <alignment horizontal="center" vertical="center"/>
      <protection/>
    </xf>
    <xf numFmtId="3" fontId="9" fillId="0" borderId="1" xfId="18" applyNumberFormat="1" applyFont="1" applyBorder="1" applyAlignment="1">
      <alignment horizontal="center"/>
      <protection/>
    </xf>
    <xf numFmtId="0" fontId="8" fillId="0" borderId="1" xfId="18" applyFont="1" applyBorder="1" applyAlignment="1">
      <alignment horizontal="center"/>
      <protection/>
    </xf>
    <xf numFmtId="0" fontId="9" fillId="0" borderId="0" xfId="18" applyFont="1" applyAlignment="1">
      <alignment horizontal="left"/>
      <protection/>
    </xf>
    <xf numFmtId="0" fontId="9" fillId="0" borderId="1" xfId="18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E1">
      <selection activeCell="O53" sqref="O53"/>
    </sheetView>
  </sheetViews>
  <sheetFormatPr defaultColWidth="9.00390625" defaultRowHeight="12.75"/>
  <cols>
    <col min="1" max="1" width="5.625" style="80" customWidth="1"/>
    <col min="2" max="2" width="4.875" style="88" bestFit="1" customWidth="1"/>
    <col min="3" max="3" width="5.875" style="88" customWidth="1"/>
    <col min="4" max="4" width="15.125" style="80" customWidth="1"/>
    <col min="5" max="5" width="11.625" style="80" customWidth="1"/>
    <col min="6" max="7" width="11.25390625" style="80" customWidth="1"/>
    <col min="8" max="8" width="11.625" style="80" customWidth="1"/>
    <col min="9" max="9" width="11.125" style="80" customWidth="1"/>
    <col min="10" max="11" width="12.875" style="80" customWidth="1"/>
    <col min="12" max="12" width="11.25390625" style="80" customWidth="1"/>
    <col min="13" max="13" width="12.125" style="80" customWidth="1"/>
    <col min="14" max="14" width="11.25390625" style="80" customWidth="1"/>
    <col min="15" max="15" width="16.75390625" style="80" customWidth="1"/>
    <col min="16" max="16384" width="9.125" style="80" customWidth="1"/>
  </cols>
  <sheetData>
    <row r="1" spans="2:15" s="82" customFormat="1" ht="12.75" customHeight="1">
      <c r="B1" s="86"/>
      <c r="C1" s="86"/>
      <c r="K1" s="116" t="s">
        <v>257</v>
      </c>
      <c r="L1" s="116"/>
      <c r="M1" s="116"/>
      <c r="N1" s="116"/>
      <c r="O1" s="116"/>
    </row>
    <row r="2" spans="2:15" s="82" customFormat="1" ht="30.75" customHeight="1">
      <c r="B2" s="86"/>
      <c r="C2" s="86"/>
      <c r="K2" s="116"/>
      <c r="L2" s="116"/>
      <c r="M2" s="116"/>
      <c r="N2" s="116"/>
      <c r="O2" s="116"/>
    </row>
    <row r="3" spans="2:15" s="82" customFormat="1" ht="12.75">
      <c r="B3" s="86"/>
      <c r="C3" s="86"/>
      <c r="L3" s="81"/>
      <c r="M3" s="84"/>
      <c r="N3" s="81"/>
      <c r="O3" s="81"/>
    </row>
    <row r="4" spans="1:15" s="10" customFormat="1" ht="18">
      <c r="A4" s="118" t="s">
        <v>187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</row>
    <row r="5" spans="1:15" s="10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4" t="s">
        <v>40</v>
      </c>
    </row>
    <row r="6" spans="1:15" s="33" customFormat="1" ht="19.5" customHeight="1">
      <c r="A6" s="119" t="s">
        <v>57</v>
      </c>
      <c r="B6" s="119" t="s">
        <v>2</v>
      </c>
      <c r="C6" s="119" t="s">
        <v>39</v>
      </c>
      <c r="D6" s="115" t="s">
        <v>108</v>
      </c>
      <c r="E6" s="115" t="s">
        <v>58</v>
      </c>
      <c r="F6" s="115" t="s">
        <v>120</v>
      </c>
      <c r="G6" s="115" t="s">
        <v>76</v>
      </c>
      <c r="H6" s="115"/>
      <c r="I6" s="115"/>
      <c r="J6" s="115"/>
      <c r="K6" s="115"/>
      <c r="L6" s="115"/>
      <c r="M6" s="115"/>
      <c r="N6" s="115"/>
      <c r="O6" s="115" t="s">
        <v>65</v>
      </c>
    </row>
    <row r="7" spans="1:15" s="33" customFormat="1" ht="19.5" customHeight="1">
      <c r="A7" s="119"/>
      <c r="B7" s="119"/>
      <c r="C7" s="119"/>
      <c r="D7" s="115"/>
      <c r="E7" s="115"/>
      <c r="F7" s="115"/>
      <c r="G7" s="115" t="s">
        <v>66</v>
      </c>
      <c r="H7" s="115" t="s">
        <v>17</v>
      </c>
      <c r="I7" s="115"/>
      <c r="J7" s="115"/>
      <c r="K7" s="115"/>
      <c r="L7" s="115" t="s">
        <v>54</v>
      </c>
      <c r="M7" s="115" t="s">
        <v>56</v>
      </c>
      <c r="N7" s="115" t="s">
        <v>121</v>
      </c>
      <c r="O7" s="115"/>
    </row>
    <row r="8" spans="1:15" s="33" customFormat="1" ht="29.25" customHeight="1">
      <c r="A8" s="119"/>
      <c r="B8" s="119"/>
      <c r="C8" s="119"/>
      <c r="D8" s="115"/>
      <c r="E8" s="115"/>
      <c r="F8" s="115"/>
      <c r="G8" s="115"/>
      <c r="H8" s="115" t="s">
        <v>122</v>
      </c>
      <c r="I8" s="115" t="s">
        <v>106</v>
      </c>
      <c r="J8" s="115" t="s">
        <v>123</v>
      </c>
      <c r="K8" s="115" t="s">
        <v>107</v>
      </c>
      <c r="L8" s="115"/>
      <c r="M8" s="115"/>
      <c r="N8" s="115"/>
      <c r="O8" s="115"/>
    </row>
    <row r="9" spans="1:15" s="33" customFormat="1" ht="19.5" customHeight="1">
      <c r="A9" s="119"/>
      <c r="B9" s="119"/>
      <c r="C9" s="119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</row>
    <row r="10" spans="1:15" s="33" customFormat="1" ht="19.5" customHeight="1">
      <c r="A10" s="119"/>
      <c r="B10" s="119"/>
      <c r="C10" s="119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</row>
    <row r="11" spans="1:15" s="10" customFormat="1" ht="12.75" customHeight="1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  <c r="L11" s="62">
        <v>12</v>
      </c>
      <c r="M11" s="62">
        <v>13</v>
      </c>
      <c r="N11" s="62">
        <v>14</v>
      </c>
      <c r="O11" s="62">
        <v>15</v>
      </c>
    </row>
    <row r="12" spans="1:15" ht="61.5" customHeight="1">
      <c r="A12" s="45" t="s">
        <v>11</v>
      </c>
      <c r="B12" s="87" t="s">
        <v>144</v>
      </c>
      <c r="C12" s="87" t="s">
        <v>145</v>
      </c>
      <c r="D12" s="38" t="s">
        <v>211</v>
      </c>
      <c r="E12" s="46">
        <f>G12+L12+M12+N12+F12</f>
        <v>213000</v>
      </c>
      <c r="F12" s="46">
        <v>0</v>
      </c>
      <c r="G12" s="46">
        <v>23000</v>
      </c>
      <c r="H12" s="46">
        <f>G12</f>
        <v>23000</v>
      </c>
      <c r="I12" s="46">
        <v>0</v>
      </c>
      <c r="J12" s="40" t="s">
        <v>152</v>
      </c>
      <c r="K12" s="46">
        <v>0</v>
      </c>
      <c r="L12" s="46">
        <v>190000</v>
      </c>
      <c r="M12" s="46">
        <v>0</v>
      </c>
      <c r="N12" s="46">
        <v>0</v>
      </c>
      <c r="O12" s="39" t="s">
        <v>148</v>
      </c>
    </row>
    <row r="13" spans="1:15" ht="63.75">
      <c r="A13" s="45" t="s">
        <v>12</v>
      </c>
      <c r="B13" s="87" t="s">
        <v>144</v>
      </c>
      <c r="C13" s="87" t="s">
        <v>145</v>
      </c>
      <c r="D13" s="38" t="s">
        <v>212</v>
      </c>
      <c r="E13" s="46">
        <f aca="true" t="shared" si="0" ref="E13:E19">G13+L13+M13+N13+F13</f>
        <v>194000</v>
      </c>
      <c r="F13" s="46">
        <v>0</v>
      </c>
      <c r="G13" s="46">
        <v>14000</v>
      </c>
      <c r="H13" s="46">
        <f>G13</f>
        <v>14000</v>
      </c>
      <c r="I13" s="46">
        <v>0</v>
      </c>
      <c r="J13" s="40" t="s">
        <v>152</v>
      </c>
      <c r="K13" s="46">
        <v>0</v>
      </c>
      <c r="L13" s="46">
        <v>180000</v>
      </c>
      <c r="M13" s="46">
        <v>0</v>
      </c>
      <c r="N13" s="46">
        <v>0</v>
      </c>
      <c r="O13" s="39" t="s">
        <v>148</v>
      </c>
    </row>
    <row r="14" spans="1:15" ht="51">
      <c r="A14" s="45" t="s">
        <v>13</v>
      </c>
      <c r="B14" s="87" t="s">
        <v>144</v>
      </c>
      <c r="C14" s="87" t="s">
        <v>145</v>
      </c>
      <c r="D14" s="38" t="s">
        <v>213</v>
      </c>
      <c r="E14" s="46">
        <f t="shared" si="0"/>
        <v>88500</v>
      </c>
      <c r="F14" s="46">
        <v>0</v>
      </c>
      <c r="G14" s="46">
        <v>8500</v>
      </c>
      <c r="H14" s="46">
        <v>8500</v>
      </c>
      <c r="I14" s="46">
        <v>0</v>
      </c>
      <c r="J14" s="40" t="s">
        <v>152</v>
      </c>
      <c r="K14" s="46">
        <v>0</v>
      </c>
      <c r="L14" s="46">
        <v>80000</v>
      </c>
      <c r="M14" s="46">
        <v>0</v>
      </c>
      <c r="N14" s="46">
        <v>0</v>
      </c>
      <c r="O14" s="39" t="s">
        <v>148</v>
      </c>
    </row>
    <row r="15" spans="1:15" ht="51">
      <c r="A15" s="45" t="s">
        <v>1</v>
      </c>
      <c r="B15" s="87" t="s">
        <v>144</v>
      </c>
      <c r="C15" s="87" t="s">
        <v>145</v>
      </c>
      <c r="D15" s="38" t="s">
        <v>214</v>
      </c>
      <c r="E15" s="46">
        <f t="shared" si="0"/>
        <v>312500</v>
      </c>
      <c r="F15" s="46">
        <v>0</v>
      </c>
      <c r="G15" s="46">
        <f>12500+300000-60000-20000-20000-60000-20000</f>
        <v>132500</v>
      </c>
      <c r="H15" s="46">
        <f>G15</f>
        <v>132500</v>
      </c>
      <c r="I15" s="46">
        <v>0</v>
      </c>
      <c r="J15" s="40" t="s">
        <v>152</v>
      </c>
      <c r="K15" s="46">
        <v>0</v>
      </c>
      <c r="L15" s="46">
        <v>180000</v>
      </c>
      <c r="M15" s="46">
        <v>0</v>
      </c>
      <c r="N15" s="46">
        <v>0</v>
      </c>
      <c r="O15" s="39" t="s">
        <v>148</v>
      </c>
    </row>
    <row r="16" spans="1:15" ht="52.5" customHeight="1">
      <c r="A16" s="45" t="s">
        <v>18</v>
      </c>
      <c r="B16" s="87" t="s">
        <v>144</v>
      </c>
      <c r="C16" s="87" t="s">
        <v>145</v>
      </c>
      <c r="D16" s="38" t="s">
        <v>215</v>
      </c>
      <c r="E16" s="46">
        <f t="shared" si="0"/>
        <v>180000</v>
      </c>
      <c r="F16" s="46">
        <v>0</v>
      </c>
      <c r="G16" s="46">
        <v>30000</v>
      </c>
      <c r="H16" s="46">
        <v>30000</v>
      </c>
      <c r="I16" s="46">
        <v>0</v>
      </c>
      <c r="J16" s="40" t="s">
        <v>152</v>
      </c>
      <c r="K16" s="46">
        <v>0</v>
      </c>
      <c r="L16" s="46">
        <v>30000</v>
      </c>
      <c r="M16" s="46">
        <v>120000</v>
      </c>
      <c r="N16" s="46">
        <v>0</v>
      </c>
      <c r="O16" s="39" t="s">
        <v>148</v>
      </c>
    </row>
    <row r="17" spans="1:15" ht="51">
      <c r="A17" s="45" t="s">
        <v>21</v>
      </c>
      <c r="B17" s="87" t="s">
        <v>144</v>
      </c>
      <c r="C17" s="87" t="s">
        <v>145</v>
      </c>
      <c r="D17" s="38" t="s">
        <v>216</v>
      </c>
      <c r="E17" s="46">
        <f t="shared" si="0"/>
        <v>220000</v>
      </c>
      <c r="F17" s="46">
        <v>0</v>
      </c>
      <c r="G17" s="46">
        <v>30000</v>
      </c>
      <c r="H17" s="46">
        <v>30000</v>
      </c>
      <c r="I17" s="46">
        <v>0</v>
      </c>
      <c r="J17" s="40" t="s">
        <v>152</v>
      </c>
      <c r="K17" s="46">
        <v>0</v>
      </c>
      <c r="L17" s="46">
        <v>30000</v>
      </c>
      <c r="M17" s="46">
        <v>160000</v>
      </c>
      <c r="N17" s="46">
        <v>0</v>
      </c>
      <c r="O17" s="39" t="s">
        <v>148</v>
      </c>
    </row>
    <row r="18" spans="1:15" ht="63.75">
      <c r="A18" s="45" t="s">
        <v>24</v>
      </c>
      <c r="B18" s="87" t="s">
        <v>144</v>
      </c>
      <c r="C18" s="87" t="s">
        <v>145</v>
      </c>
      <c r="D18" s="38" t="s">
        <v>217</v>
      </c>
      <c r="E18" s="46">
        <f t="shared" si="0"/>
        <v>320000</v>
      </c>
      <c r="F18" s="46">
        <v>0</v>
      </c>
      <c r="G18" s="46">
        <v>50000</v>
      </c>
      <c r="H18" s="46">
        <v>50000</v>
      </c>
      <c r="I18" s="46">
        <v>0</v>
      </c>
      <c r="J18" s="40" t="s">
        <v>152</v>
      </c>
      <c r="K18" s="46">
        <v>0</v>
      </c>
      <c r="L18" s="46">
        <v>50000</v>
      </c>
      <c r="M18" s="46">
        <v>220000</v>
      </c>
      <c r="N18" s="46">
        <v>0</v>
      </c>
      <c r="O18" s="39" t="s">
        <v>148</v>
      </c>
    </row>
    <row r="19" spans="1:15" ht="158.25" customHeight="1">
      <c r="A19" s="45" t="s">
        <v>30</v>
      </c>
      <c r="B19" s="87" t="s">
        <v>144</v>
      </c>
      <c r="C19" s="87" t="s">
        <v>145</v>
      </c>
      <c r="D19" s="38" t="s">
        <v>218</v>
      </c>
      <c r="E19" s="46">
        <f t="shared" si="0"/>
        <v>2111000</v>
      </c>
      <c r="F19" s="46">
        <v>0</v>
      </c>
      <c r="G19" s="46">
        <v>111000</v>
      </c>
      <c r="H19" s="46">
        <v>111000</v>
      </c>
      <c r="I19" s="46">
        <v>0</v>
      </c>
      <c r="J19" s="40" t="s">
        <v>152</v>
      </c>
      <c r="K19" s="46">
        <v>0</v>
      </c>
      <c r="L19" s="46">
        <v>0</v>
      </c>
      <c r="M19" s="46">
        <v>1000000</v>
      </c>
      <c r="N19" s="46">
        <v>1000000</v>
      </c>
      <c r="O19" s="39" t="s">
        <v>148</v>
      </c>
    </row>
    <row r="20" spans="1:15" ht="94.5" customHeight="1">
      <c r="A20" s="45" t="s">
        <v>44</v>
      </c>
      <c r="B20" s="87" t="s">
        <v>144</v>
      </c>
      <c r="C20" s="87" t="s">
        <v>145</v>
      </c>
      <c r="D20" s="75" t="s">
        <v>219</v>
      </c>
      <c r="E20" s="46">
        <f>G20+L20</f>
        <v>294000</v>
      </c>
      <c r="F20" s="46">
        <v>0</v>
      </c>
      <c r="G20" s="46">
        <f>222000+22000</f>
        <v>244000</v>
      </c>
      <c r="H20" s="46">
        <v>4300</v>
      </c>
      <c r="I20" s="46">
        <f>G20-H20</f>
        <v>239700</v>
      </c>
      <c r="J20" s="40" t="s">
        <v>152</v>
      </c>
      <c r="K20" s="46">
        <v>0</v>
      </c>
      <c r="L20" s="46">
        <v>50000</v>
      </c>
      <c r="M20" s="46">
        <v>0</v>
      </c>
      <c r="N20" s="46">
        <v>0</v>
      </c>
      <c r="O20" s="39" t="s">
        <v>148</v>
      </c>
    </row>
    <row r="21" spans="1:15" ht="72" customHeight="1">
      <c r="A21" s="45" t="s">
        <v>141</v>
      </c>
      <c r="B21" s="87" t="s">
        <v>144</v>
      </c>
      <c r="C21" s="87" t="s">
        <v>145</v>
      </c>
      <c r="D21" s="75" t="s">
        <v>220</v>
      </c>
      <c r="E21" s="46">
        <v>300000</v>
      </c>
      <c r="F21" s="46">
        <v>0</v>
      </c>
      <c r="G21" s="46">
        <v>50000</v>
      </c>
      <c r="H21" s="46">
        <v>50000</v>
      </c>
      <c r="I21" s="46">
        <v>0</v>
      </c>
      <c r="J21" s="40" t="s">
        <v>152</v>
      </c>
      <c r="K21" s="46">
        <v>0</v>
      </c>
      <c r="L21" s="46">
        <v>30000</v>
      </c>
      <c r="M21" s="46">
        <v>220000</v>
      </c>
      <c r="N21" s="46">
        <v>0</v>
      </c>
      <c r="O21" s="39" t="s">
        <v>148</v>
      </c>
    </row>
    <row r="22" spans="1:15" s="41" customFormat="1" ht="18" customHeight="1">
      <c r="A22" s="117" t="s">
        <v>149</v>
      </c>
      <c r="B22" s="117"/>
      <c r="C22" s="117"/>
      <c r="D22" s="117"/>
      <c r="E22" s="47">
        <f>E19+E18+E17+E16+E15+E14+E13+E12+E20+E21</f>
        <v>4233000</v>
      </c>
      <c r="F22" s="47">
        <f>F19+F18+F17+F16+F15+F14+F13+F12+F20+F21</f>
        <v>0</v>
      </c>
      <c r="G22" s="47">
        <f>G19+G18+G17+G16+G15+G14+G13+G12+G20+G21</f>
        <v>693000</v>
      </c>
      <c r="H22" s="47">
        <f>H19+H18+H17+H16+H15+H14+H13+H12+H20+H21</f>
        <v>453300</v>
      </c>
      <c r="I22" s="47">
        <f>I19+I18+I17+I16+I15+I14+I13+I12+I20+I21</f>
        <v>239700</v>
      </c>
      <c r="J22" s="47" t="s">
        <v>125</v>
      </c>
      <c r="K22" s="47">
        <f>K19+K18+K17+K16+K15+K14+K13+K12+K20+K21</f>
        <v>0</v>
      </c>
      <c r="L22" s="47">
        <f>L19+L18+L17+L16+L15+L14+L13+L12+L20+L21</f>
        <v>820000</v>
      </c>
      <c r="M22" s="47">
        <f>M19+M18+M17+M16+M15+M14+M13+M12+M20+M21</f>
        <v>1720000</v>
      </c>
      <c r="N22" s="47">
        <f>N19+N18+N17+N16+N15+N14+N13+N12+N20+N21</f>
        <v>1000000</v>
      </c>
      <c r="O22" s="42" t="s">
        <v>125</v>
      </c>
    </row>
    <row r="23" spans="1:15" ht="78.75" customHeight="1">
      <c r="A23" s="45">
        <v>11</v>
      </c>
      <c r="B23" s="87" t="s">
        <v>146</v>
      </c>
      <c r="C23" s="45">
        <v>60013</v>
      </c>
      <c r="D23" s="40" t="s">
        <v>221</v>
      </c>
      <c r="E23" s="46">
        <v>378815</v>
      </c>
      <c r="F23" s="46">
        <v>0</v>
      </c>
      <c r="G23" s="46">
        <f>80000-10000-70000</f>
        <v>0</v>
      </c>
      <c r="H23" s="46">
        <f>G23</f>
        <v>0</v>
      </c>
      <c r="I23" s="46">
        <v>0</v>
      </c>
      <c r="J23" s="40" t="s">
        <v>152</v>
      </c>
      <c r="K23" s="46">
        <v>0</v>
      </c>
      <c r="L23" s="46">
        <f>E23-G23</f>
        <v>378815</v>
      </c>
      <c r="M23" s="46">
        <v>0</v>
      </c>
      <c r="N23" s="46">
        <v>0</v>
      </c>
      <c r="O23" s="39" t="s">
        <v>148</v>
      </c>
    </row>
    <row r="24" spans="1:15" ht="143.25" customHeight="1">
      <c r="A24" s="45">
        <v>12</v>
      </c>
      <c r="B24" s="87" t="s">
        <v>146</v>
      </c>
      <c r="C24" s="45">
        <v>60013</v>
      </c>
      <c r="D24" s="40" t="s">
        <v>222</v>
      </c>
      <c r="E24" s="46">
        <f>F24+G24+L24+M24</f>
        <v>200000</v>
      </c>
      <c r="F24" s="46">
        <v>0</v>
      </c>
      <c r="G24" s="46">
        <v>10000</v>
      </c>
      <c r="H24" s="46">
        <v>10000</v>
      </c>
      <c r="I24" s="46">
        <v>0</v>
      </c>
      <c r="J24" s="40" t="s">
        <v>152</v>
      </c>
      <c r="K24" s="46">
        <v>0</v>
      </c>
      <c r="L24" s="46">
        <v>120000</v>
      </c>
      <c r="M24" s="46">
        <v>70000</v>
      </c>
      <c r="N24" s="46">
        <v>0</v>
      </c>
      <c r="O24" s="39" t="s">
        <v>148</v>
      </c>
    </row>
    <row r="25" spans="1:15" ht="51">
      <c r="A25" s="45">
        <v>13</v>
      </c>
      <c r="B25" s="87" t="s">
        <v>146</v>
      </c>
      <c r="C25" s="45">
        <v>60016</v>
      </c>
      <c r="D25" s="40" t="s">
        <v>223</v>
      </c>
      <c r="E25" s="46">
        <f>G25+L25+M25+N25+F25</f>
        <v>144256</v>
      </c>
      <c r="F25" s="46">
        <v>44256</v>
      </c>
      <c r="G25" s="46">
        <v>50000</v>
      </c>
      <c r="H25" s="46">
        <f>G25</f>
        <v>50000</v>
      </c>
      <c r="I25" s="46">
        <v>0</v>
      </c>
      <c r="J25" s="40" t="s">
        <v>152</v>
      </c>
      <c r="K25" s="46">
        <v>0</v>
      </c>
      <c r="L25" s="46">
        <v>50000</v>
      </c>
      <c r="M25" s="46">
        <v>0</v>
      </c>
      <c r="N25" s="46">
        <v>0</v>
      </c>
      <c r="O25" s="39" t="s">
        <v>148</v>
      </c>
    </row>
    <row r="26" spans="1:15" ht="63.75">
      <c r="A26" s="45">
        <v>14</v>
      </c>
      <c r="B26" s="87" t="s">
        <v>146</v>
      </c>
      <c r="C26" s="45">
        <v>60016</v>
      </c>
      <c r="D26" s="40" t="s">
        <v>240</v>
      </c>
      <c r="E26" s="46">
        <f>G26+L26+M26+N26+F26</f>
        <v>341562</v>
      </c>
      <c r="F26" s="46">
        <v>62</v>
      </c>
      <c r="G26" s="46">
        <f>385000-34000-6000-10000-43500-132605-100000</f>
        <v>58895</v>
      </c>
      <c r="H26" s="46">
        <f>G26-I26</f>
        <v>58895</v>
      </c>
      <c r="I26" s="46">
        <v>0</v>
      </c>
      <c r="J26" s="40" t="s">
        <v>152</v>
      </c>
      <c r="K26" s="46">
        <v>0</v>
      </c>
      <c r="L26" s="46">
        <f>50000+232605</f>
        <v>282605</v>
      </c>
      <c r="M26" s="46">
        <v>0</v>
      </c>
      <c r="N26" s="46">
        <v>0</v>
      </c>
      <c r="O26" s="39" t="s">
        <v>148</v>
      </c>
    </row>
    <row r="27" spans="1:15" ht="63.75">
      <c r="A27" s="45">
        <v>15</v>
      </c>
      <c r="B27" s="87" t="s">
        <v>146</v>
      </c>
      <c r="C27" s="45">
        <v>60016</v>
      </c>
      <c r="D27" s="40" t="s">
        <v>224</v>
      </c>
      <c r="E27" s="46">
        <f aca="true" t="shared" si="1" ref="E27:E45">G27+L27+M27+N27+F27</f>
        <v>80000</v>
      </c>
      <c r="F27" s="46">
        <v>20000</v>
      </c>
      <c r="G27" s="46">
        <v>60000</v>
      </c>
      <c r="H27" s="46">
        <f>G27</f>
        <v>60000</v>
      </c>
      <c r="I27" s="46">
        <v>0</v>
      </c>
      <c r="J27" s="40" t="s">
        <v>152</v>
      </c>
      <c r="K27" s="46">
        <v>0</v>
      </c>
      <c r="L27" s="46">
        <v>0</v>
      </c>
      <c r="M27" s="46">
        <v>0</v>
      </c>
      <c r="N27" s="46">
        <v>0</v>
      </c>
      <c r="O27" s="39" t="s">
        <v>148</v>
      </c>
    </row>
    <row r="28" spans="1:15" ht="102">
      <c r="A28" s="45">
        <v>16</v>
      </c>
      <c r="B28" s="87" t="s">
        <v>146</v>
      </c>
      <c r="C28" s="45">
        <v>60016</v>
      </c>
      <c r="D28" s="40" t="s">
        <v>225</v>
      </c>
      <c r="E28" s="46">
        <f>F28+G28+L28+M28</f>
        <v>406000</v>
      </c>
      <c r="F28" s="46">
        <v>26000</v>
      </c>
      <c r="G28" s="46">
        <f>74000+6000</f>
        <v>80000</v>
      </c>
      <c r="H28" s="46">
        <f>G28</f>
        <v>80000</v>
      </c>
      <c r="I28" s="46">
        <v>0</v>
      </c>
      <c r="J28" s="40" t="s">
        <v>152</v>
      </c>
      <c r="K28" s="46">
        <v>0</v>
      </c>
      <c r="L28" s="46">
        <v>100000</v>
      </c>
      <c r="M28" s="46">
        <v>200000</v>
      </c>
      <c r="N28" s="46">
        <v>0</v>
      </c>
      <c r="O28" s="39" t="s">
        <v>148</v>
      </c>
    </row>
    <row r="29" spans="1:15" ht="57" customHeight="1">
      <c r="A29" s="45">
        <v>17</v>
      </c>
      <c r="B29" s="87" t="s">
        <v>146</v>
      </c>
      <c r="C29" s="45">
        <v>60016</v>
      </c>
      <c r="D29" s="40" t="s">
        <v>226</v>
      </c>
      <c r="E29" s="46">
        <f t="shared" si="1"/>
        <v>505000</v>
      </c>
      <c r="F29" s="46">
        <v>0</v>
      </c>
      <c r="G29" s="46">
        <f>50000-45000</f>
        <v>5000</v>
      </c>
      <c r="H29" s="46">
        <f>50000-45000</f>
        <v>5000</v>
      </c>
      <c r="I29" s="46">
        <v>0</v>
      </c>
      <c r="J29" s="40" t="s">
        <v>152</v>
      </c>
      <c r="K29" s="46">
        <v>0</v>
      </c>
      <c r="L29" s="46">
        <v>500000</v>
      </c>
      <c r="M29" s="46">
        <v>0</v>
      </c>
      <c r="N29" s="46">
        <v>0</v>
      </c>
      <c r="O29" s="39" t="s">
        <v>148</v>
      </c>
    </row>
    <row r="30" spans="1:15" ht="69.75" customHeight="1">
      <c r="A30" s="45">
        <v>18</v>
      </c>
      <c r="B30" s="51">
        <v>600</v>
      </c>
      <c r="C30" s="51">
        <v>60016</v>
      </c>
      <c r="D30" s="38" t="s">
        <v>239</v>
      </c>
      <c r="E30" s="46">
        <f t="shared" si="1"/>
        <v>400219</v>
      </c>
      <c r="F30" s="46">
        <v>219</v>
      </c>
      <c r="G30" s="85">
        <v>100000</v>
      </c>
      <c r="H30" s="46">
        <v>100000</v>
      </c>
      <c r="I30" s="46">
        <v>0</v>
      </c>
      <c r="J30" s="40" t="s">
        <v>152</v>
      </c>
      <c r="K30" s="46">
        <v>0</v>
      </c>
      <c r="L30" s="46">
        <v>300000</v>
      </c>
      <c r="M30" s="46">
        <v>0</v>
      </c>
      <c r="N30" s="46">
        <v>0</v>
      </c>
      <c r="O30" s="39" t="s">
        <v>148</v>
      </c>
    </row>
    <row r="31" spans="1:15" ht="51">
      <c r="A31" s="45">
        <v>19</v>
      </c>
      <c r="B31" s="51">
        <v>600</v>
      </c>
      <c r="C31" s="51">
        <v>60016</v>
      </c>
      <c r="D31" s="38" t="s">
        <v>227</v>
      </c>
      <c r="E31" s="46">
        <f t="shared" si="1"/>
        <v>219124</v>
      </c>
      <c r="F31" s="46">
        <v>4124</v>
      </c>
      <c r="G31" s="46">
        <f>380000-165000</f>
        <v>215000</v>
      </c>
      <c r="H31" s="46">
        <f>380000-165000</f>
        <v>215000</v>
      </c>
      <c r="I31" s="46">
        <v>0</v>
      </c>
      <c r="J31" s="40" t="s">
        <v>152</v>
      </c>
      <c r="K31" s="46">
        <v>0</v>
      </c>
      <c r="L31" s="46">
        <v>0</v>
      </c>
      <c r="M31" s="46">
        <v>0</v>
      </c>
      <c r="N31" s="46">
        <v>0</v>
      </c>
      <c r="O31" s="39" t="s">
        <v>148</v>
      </c>
    </row>
    <row r="32" spans="1:15" ht="76.5">
      <c r="A32" s="45">
        <v>20</v>
      </c>
      <c r="B32" s="51">
        <v>600</v>
      </c>
      <c r="C32" s="51">
        <v>60016</v>
      </c>
      <c r="D32" s="38" t="s">
        <v>228</v>
      </c>
      <c r="E32" s="46">
        <f t="shared" si="1"/>
        <v>85000</v>
      </c>
      <c r="F32" s="46">
        <v>0</v>
      </c>
      <c r="G32" s="46">
        <v>5000</v>
      </c>
      <c r="H32" s="46">
        <v>5000</v>
      </c>
      <c r="I32" s="46">
        <v>0</v>
      </c>
      <c r="J32" s="40" t="s">
        <v>152</v>
      </c>
      <c r="K32" s="46">
        <v>0</v>
      </c>
      <c r="L32" s="46">
        <v>80000</v>
      </c>
      <c r="M32" s="46">
        <v>0</v>
      </c>
      <c r="N32" s="46">
        <v>0</v>
      </c>
      <c r="O32" s="39" t="s">
        <v>148</v>
      </c>
    </row>
    <row r="33" spans="1:15" ht="51">
      <c r="A33" s="45">
        <v>21</v>
      </c>
      <c r="B33" s="51">
        <v>600</v>
      </c>
      <c r="C33" s="51">
        <v>60016</v>
      </c>
      <c r="D33" s="38" t="s">
        <v>229</v>
      </c>
      <c r="E33" s="46">
        <f t="shared" si="1"/>
        <v>230000</v>
      </c>
      <c r="F33" s="46">
        <v>0</v>
      </c>
      <c r="G33" s="46">
        <v>10000</v>
      </c>
      <c r="H33" s="46">
        <v>10000</v>
      </c>
      <c r="I33" s="46">
        <v>0</v>
      </c>
      <c r="J33" s="40" t="s">
        <v>152</v>
      </c>
      <c r="K33" s="46">
        <v>0</v>
      </c>
      <c r="L33" s="46">
        <v>220000</v>
      </c>
      <c r="M33" s="46">
        <v>0</v>
      </c>
      <c r="N33" s="46">
        <v>0</v>
      </c>
      <c r="O33" s="39" t="s">
        <v>148</v>
      </c>
    </row>
    <row r="34" spans="1:15" ht="54.75" customHeight="1">
      <c r="A34" s="45">
        <v>22</v>
      </c>
      <c r="B34" s="51">
        <v>600</v>
      </c>
      <c r="C34" s="51">
        <v>60016</v>
      </c>
      <c r="D34" s="38" t="s">
        <v>230</v>
      </c>
      <c r="E34" s="46">
        <f t="shared" si="1"/>
        <v>140000</v>
      </c>
      <c r="F34" s="46">
        <v>0</v>
      </c>
      <c r="G34" s="46">
        <f>H34</f>
        <v>0</v>
      </c>
      <c r="H34" s="46">
        <f>4000-4000</f>
        <v>0</v>
      </c>
      <c r="I34" s="46">
        <v>0</v>
      </c>
      <c r="J34" s="40" t="s">
        <v>152</v>
      </c>
      <c r="K34" s="46">
        <v>0</v>
      </c>
      <c r="L34" s="46">
        <v>140000</v>
      </c>
      <c r="M34" s="46">
        <v>0</v>
      </c>
      <c r="N34" s="46">
        <v>0</v>
      </c>
      <c r="O34" s="39" t="s">
        <v>148</v>
      </c>
    </row>
    <row r="35" spans="1:15" ht="51">
      <c r="A35" s="45">
        <v>23</v>
      </c>
      <c r="B35" s="51">
        <v>600</v>
      </c>
      <c r="C35" s="51">
        <v>60016</v>
      </c>
      <c r="D35" s="38" t="s">
        <v>231</v>
      </c>
      <c r="E35" s="46">
        <f t="shared" si="1"/>
        <v>306000</v>
      </c>
      <c r="F35" s="46">
        <v>0</v>
      </c>
      <c r="G35" s="46">
        <f>H35</f>
        <v>6000</v>
      </c>
      <c r="H35" s="46">
        <f>6000</f>
        <v>6000</v>
      </c>
      <c r="I35" s="46">
        <v>0</v>
      </c>
      <c r="J35" s="40" t="s">
        <v>152</v>
      </c>
      <c r="K35" s="46">
        <v>0</v>
      </c>
      <c r="L35" s="46">
        <v>300000</v>
      </c>
      <c r="M35" s="46">
        <v>0</v>
      </c>
      <c r="N35" s="46">
        <v>0</v>
      </c>
      <c r="O35" s="39" t="s">
        <v>148</v>
      </c>
    </row>
    <row r="36" spans="1:15" s="41" customFormat="1" ht="12.75">
      <c r="A36" s="113" t="s">
        <v>150</v>
      </c>
      <c r="B36" s="113"/>
      <c r="C36" s="113"/>
      <c r="D36" s="113"/>
      <c r="E36" s="47">
        <f>E28+E27+E26+E25+E23+E29+E30+E31+E32+E33+E34+E35+E24</f>
        <v>3435976</v>
      </c>
      <c r="F36" s="47">
        <f>F28+F27+F26+F25+F23+F29+F30+F31+F32+F33+F34+F35+F24</f>
        <v>94661</v>
      </c>
      <c r="G36" s="47">
        <f>G28+G27+G26+G25+G23+G29+G30+G31+G32+G33+G34+G35+G24</f>
        <v>599895</v>
      </c>
      <c r="H36" s="47">
        <f>H28+H27+H26+H25+H23+H29+H30+H31+H32+H33+H34+H35+H24</f>
        <v>599895</v>
      </c>
      <c r="I36" s="47">
        <f>I28+I27+I26+I25+I23+I29+I30+I31+I32+I33+I34+I35+I24</f>
        <v>0</v>
      </c>
      <c r="J36" s="47" t="s">
        <v>125</v>
      </c>
      <c r="K36" s="47">
        <f>K28+K27+K26+K25+K23+K29+K30+K31+K32+K33+K34+K35+K24</f>
        <v>0</v>
      </c>
      <c r="L36" s="47">
        <f>L28+L27+L26+L25+L23+L29+L30+L31+L32+L33+L34+L35+L24</f>
        <v>2471420</v>
      </c>
      <c r="M36" s="47">
        <f>M28+M27+M26+M25+M23+M29+M30+M31+M32+M33+M34+M35+M24</f>
        <v>270000</v>
      </c>
      <c r="N36" s="47">
        <f>N28+N27+N26+N25+N23+N29+N30+N31+N32+N33+N34+N35+N24</f>
        <v>0</v>
      </c>
      <c r="O36" s="42" t="s">
        <v>125</v>
      </c>
    </row>
    <row r="37" spans="1:15" s="41" customFormat="1" ht="51" customHeight="1">
      <c r="A37" s="45">
        <v>24</v>
      </c>
      <c r="B37" s="45">
        <v>700</v>
      </c>
      <c r="C37" s="45">
        <v>70095</v>
      </c>
      <c r="D37" s="38" t="s">
        <v>232</v>
      </c>
      <c r="E37" s="46">
        <f t="shared" si="1"/>
        <v>271000</v>
      </c>
      <c r="F37" s="46">
        <v>0</v>
      </c>
      <c r="G37" s="46">
        <f>70000-12500-16500-20000</f>
        <v>21000</v>
      </c>
      <c r="H37" s="46">
        <f>G37</f>
        <v>21000</v>
      </c>
      <c r="I37" s="46">
        <v>0</v>
      </c>
      <c r="J37" s="40" t="s">
        <v>152</v>
      </c>
      <c r="K37" s="46">
        <v>0</v>
      </c>
      <c r="L37" s="46">
        <v>250000</v>
      </c>
      <c r="M37" s="46">
        <v>0</v>
      </c>
      <c r="N37" s="46">
        <v>0</v>
      </c>
      <c r="O37" s="39" t="s">
        <v>148</v>
      </c>
    </row>
    <row r="38" spans="1:15" s="41" customFormat="1" ht="114.75">
      <c r="A38" s="45">
        <v>25</v>
      </c>
      <c r="B38" s="45">
        <v>700</v>
      </c>
      <c r="C38" s="45">
        <v>70095</v>
      </c>
      <c r="D38" s="38" t="s">
        <v>233</v>
      </c>
      <c r="E38" s="46">
        <f t="shared" si="1"/>
        <v>112500</v>
      </c>
      <c r="F38" s="46">
        <v>0</v>
      </c>
      <c r="G38" s="46">
        <v>12500</v>
      </c>
      <c r="H38" s="46">
        <v>12500</v>
      </c>
      <c r="I38" s="46">
        <v>0</v>
      </c>
      <c r="J38" s="40" t="s">
        <v>152</v>
      </c>
      <c r="K38" s="46">
        <v>0</v>
      </c>
      <c r="L38" s="46">
        <v>100000</v>
      </c>
      <c r="M38" s="46">
        <v>0</v>
      </c>
      <c r="N38" s="46">
        <v>0</v>
      </c>
      <c r="O38" s="39" t="s">
        <v>148</v>
      </c>
    </row>
    <row r="39" spans="1:15" s="41" customFormat="1" ht="12.75">
      <c r="A39" s="113" t="s">
        <v>157</v>
      </c>
      <c r="B39" s="113"/>
      <c r="C39" s="113"/>
      <c r="D39" s="113"/>
      <c r="E39" s="47">
        <f>E37+E38</f>
        <v>383500</v>
      </c>
      <c r="F39" s="47">
        <f>F37+F38</f>
        <v>0</v>
      </c>
      <c r="G39" s="47">
        <f>G37+G38</f>
        <v>33500</v>
      </c>
      <c r="H39" s="47">
        <f>H37+H38</f>
        <v>33500</v>
      </c>
      <c r="I39" s="47">
        <f>I37+I38</f>
        <v>0</v>
      </c>
      <c r="J39" s="47" t="s">
        <v>125</v>
      </c>
      <c r="K39" s="47">
        <f>K37</f>
        <v>0</v>
      </c>
      <c r="L39" s="47">
        <f>L38+L37</f>
        <v>350000</v>
      </c>
      <c r="M39" s="47">
        <f>M37</f>
        <v>0</v>
      </c>
      <c r="N39" s="47">
        <f>N37</f>
        <v>0</v>
      </c>
      <c r="O39" s="47" t="s">
        <v>125</v>
      </c>
    </row>
    <row r="40" spans="1:15" ht="89.25">
      <c r="A40" s="39">
        <v>26</v>
      </c>
      <c r="B40" s="39">
        <v>801</v>
      </c>
      <c r="C40" s="39">
        <v>80101</v>
      </c>
      <c r="D40" s="75" t="s">
        <v>234</v>
      </c>
      <c r="E40" s="46">
        <f>G40+F40+L40</f>
        <v>420000</v>
      </c>
      <c r="F40" s="46">
        <v>0</v>
      </c>
      <c r="G40" s="46">
        <f>255000-85000</f>
        <v>170000</v>
      </c>
      <c r="H40" s="46">
        <f>G40-I40</f>
        <v>36663</v>
      </c>
      <c r="I40" s="46">
        <v>133337</v>
      </c>
      <c r="J40" s="40" t="s">
        <v>152</v>
      </c>
      <c r="K40" s="46">
        <v>0</v>
      </c>
      <c r="L40" s="46">
        <v>250000</v>
      </c>
      <c r="M40" s="46">
        <v>0</v>
      </c>
      <c r="N40" s="46">
        <v>0</v>
      </c>
      <c r="O40" s="39" t="s">
        <v>148</v>
      </c>
    </row>
    <row r="41" spans="1:15" ht="102">
      <c r="A41" s="39">
        <v>27</v>
      </c>
      <c r="B41" s="39">
        <v>801</v>
      </c>
      <c r="C41" s="39">
        <v>80110</v>
      </c>
      <c r="D41" s="75" t="s">
        <v>235</v>
      </c>
      <c r="E41" s="46">
        <f>F41+G41+L41</f>
        <v>257000</v>
      </c>
      <c r="F41" s="46">
        <v>0</v>
      </c>
      <c r="G41" s="46">
        <v>7000</v>
      </c>
      <c r="H41" s="46">
        <v>7000</v>
      </c>
      <c r="I41" s="46">
        <v>0</v>
      </c>
      <c r="J41" s="40" t="s">
        <v>152</v>
      </c>
      <c r="K41" s="46">
        <v>0</v>
      </c>
      <c r="L41" s="46">
        <v>250000</v>
      </c>
      <c r="M41" s="46">
        <v>0</v>
      </c>
      <c r="N41" s="46">
        <v>0</v>
      </c>
      <c r="O41" s="39" t="s">
        <v>148</v>
      </c>
    </row>
    <row r="42" spans="1:15" s="41" customFormat="1" ht="51" customHeight="1">
      <c r="A42" s="112" t="s">
        <v>176</v>
      </c>
      <c r="B42" s="112"/>
      <c r="C42" s="112"/>
      <c r="D42" s="112"/>
      <c r="E42" s="47">
        <f>E40+E41</f>
        <v>677000</v>
      </c>
      <c r="F42" s="47">
        <f aca="true" t="shared" si="2" ref="F42:N42">F40+F41</f>
        <v>0</v>
      </c>
      <c r="G42" s="47">
        <f t="shared" si="2"/>
        <v>177000</v>
      </c>
      <c r="H42" s="47">
        <f t="shared" si="2"/>
        <v>43663</v>
      </c>
      <c r="I42" s="47">
        <f t="shared" si="2"/>
        <v>133337</v>
      </c>
      <c r="J42" s="47" t="s">
        <v>125</v>
      </c>
      <c r="K42" s="47">
        <f t="shared" si="2"/>
        <v>0</v>
      </c>
      <c r="L42" s="47">
        <f t="shared" si="2"/>
        <v>500000</v>
      </c>
      <c r="M42" s="47">
        <f t="shared" si="2"/>
        <v>0</v>
      </c>
      <c r="N42" s="47">
        <f t="shared" si="2"/>
        <v>0</v>
      </c>
      <c r="O42" s="47" t="s">
        <v>125</v>
      </c>
    </row>
    <row r="43" spans="1:15" ht="70.5" customHeight="1">
      <c r="A43" s="45">
        <v>28</v>
      </c>
      <c r="B43" s="87" t="s">
        <v>147</v>
      </c>
      <c r="C43" s="45">
        <v>90015</v>
      </c>
      <c r="D43" s="38" t="s">
        <v>236</v>
      </c>
      <c r="E43" s="46">
        <f t="shared" si="1"/>
        <v>56986</v>
      </c>
      <c r="F43" s="46">
        <v>986</v>
      </c>
      <c r="G43" s="46">
        <f>75000-11000-8000</f>
        <v>56000</v>
      </c>
      <c r="H43" s="46">
        <f>G43</f>
        <v>56000</v>
      </c>
      <c r="I43" s="46">
        <v>0</v>
      </c>
      <c r="J43" s="40" t="s">
        <v>152</v>
      </c>
      <c r="K43" s="46">
        <v>0</v>
      </c>
      <c r="L43" s="46">
        <v>0</v>
      </c>
      <c r="M43" s="46">
        <v>0</v>
      </c>
      <c r="N43" s="46">
        <v>0</v>
      </c>
      <c r="O43" s="39" t="s">
        <v>148</v>
      </c>
    </row>
    <row r="44" spans="1:15" ht="102">
      <c r="A44" s="45">
        <v>29</v>
      </c>
      <c r="B44" s="87" t="s">
        <v>147</v>
      </c>
      <c r="C44" s="45">
        <v>90015</v>
      </c>
      <c r="D44" s="38" t="s">
        <v>237</v>
      </c>
      <c r="E44" s="46">
        <f t="shared" si="1"/>
        <v>34000</v>
      </c>
      <c r="F44" s="46">
        <v>0</v>
      </c>
      <c r="G44" s="46">
        <v>4000</v>
      </c>
      <c r="H44" s="46">
        <v>4000</v>
      </c>
      <c r="I44" s="46">
        <v>0</v>
      </c>
      <c r="J44" s="40" t="s">
        <v>152</v>
      </c>
      <c r="K44" s="46">
        <v>0</v>
      </c>
      <c r="L44" s="46">
        <v>30000</v>
      </c>
      <c r="M44" s="46">
        <v>0</v>
      </c>
      <c r="N44" s="46">
        <v>0</v>
      </c>
      <c r="O44" s="39" t="s">
        <v>148</v>
      </c>
    </row>
    <row r="45" spans="1:15" ht="89.25">
      <c r="A45" s="45">
        <v>30</v>
      </c>
      <c r="B45" s="87" t="s">
        <v>147</v>
      </c>
      <c r="C45" s="45">
        <v>90095</v>
      </c>
      <c r="D45" s="38" t="s">
        <v>241</v>
      </c>
      <c r="E45" s="46">
        <f t="shared" si="1"/>
        <v>92000</v>
      </c>
      <c r="F45" s="46">
        <v>0</v>
      </c>
      <c r="G45" s="46">
        <v>2000</v>
      </c>
      <c r="H45" s="46">
        <v>2000</v>
      </c>
      <c r="I45" s="46">
        <v>0</v>
      </c>
      <c r="J45" s="40" t="s">
        <v>152</v>
      </c>
      <c r="K45" s="46">
        <v>0</v>
      </c>
      <c r="L45" s="46">
        <v>90000</v>
      </c>
      <c r="M45" s="46"/>
      <c r="N45" s="46"/>
      <c r="O45" s="39" t="s">
        <v>148</v>
      </c>
    </row>
    <row r="46" spans="1:15" s="41" customFormat="1" ht="12.75">
      <c r="A46" s="113" t="s">
        <v>151</v>
      </c>
      <c r="B46" s="113"/>
      <c r="C46" s="113"/>
      <c r="D46" s="113"/>
      <c r="E46" s="47">
        <f>E43+E44+E45</f>
        <v>182986</v>
      </c>
      <c r="F46" s="47">
        <f>F43+F44+F45</f>
        <v>986</v>
      </c>
      <c r="G46" s="47">
        <f>G43+G44+G45</f>
        <v>62000</v>
      </c>
      <c r="H46" s="47">
        <f>H43+H44+H45</f>
        <v>62000</v>
      </c>
      <c r="I46" s="47">
        <f>I43+I44+I45</f>
        <v>0</v>
      </c>
      <c r="J46" s="48" t="s">
        <v>125</v>
      </c>
      <c r="K46" s="47">
        <f>K43</f>
        <v>0</v>
      </c>
      <c r="L46" s="47">
        <f>L44+L45</f>
        <v>120000</v>
      </c>
      <c r="M46" s="47">
        <f>M44+M45</f>
        <v>0</v>
      </c>
      <c r="N46" s="47">
        <f>N44+N45</f>
        <v>0</v>
      </c>
      <c r="O46" s="48" t="s">
        <v>125</v>
      </c>
    </row>
    <row r="47" spans="1:15" ht="225.75" customHeight="1">
      <c r="A47" s="39">
        <v>31</v>
      </c>
      <c r="B47" s="75">
        <v>926</v>
      </c>
      <c r="C47" s="75">
        <v>92601</v>
      </c>
      <c r="D47" s="75" t="s">
        <v>238</v>
      </c>
      <c r="E47" s="46">
        <f>F47+G47+L47</f>
        <v>978000</v>
      </c>
      <c r="F47" s="46">
        <v>0</v>
      </c>
      <c r="G47" s="46">
        <f>50000-22000</f>
        <v>28000</v>
      </c>
      <c r="H47" s="46">
        <f>G47</f>
        <v>28000</v>
      </c>
      <c r="I47" s="46">
        <v>0</v>
      </c>
      <c r="J47" s="40" t="s">
        <v>152</v>
      </c>
      <c r="K47" s="46">
        <v>0</v>
      </c>
      <c r="L47" s="46">
        <v>950000</v>
      </c>
      <c r="M47" s="46">
        <v>0</v>
      </c>
      <c r="N47" s="46">
        <v>0</v>
      </c>
      <c r="O47" s="39" t="s">
        <v>148</v>
      </c>
    </row>
    <row r="48" spans="1:15" s="41" customFormat="1" ht="20.25" customHeight="1">
      <c r="A48" s="112" t="s">
        <v>188</v>
      </c>
      <c r="B48" s="112"/>
      <c r="C48" s="112"/>
      <c r="D48" s="112"/>
      <c r="E48" s="47">
        <f>E47</f>
        <v>978000</v>
      </c>
      <c r="F48" s="47">
        <f aca="true" t="shared" si="3" ref="F48:N48">F47</f>
        <v>0</v>
      </c>
      <c r="G48" s="47">
        <f t="shared" si="3"/>
        <v>28000</v>
      </c>
      <c r="H48" s="47">
        <f t="shared" si="3"/>
        <v>28000</v>
      </c>
      <c r="I48" s="47">
        <f t="shared" si="3"/>
        <v>0</v>
      </c>
      <c r="J48" s="47" t="s">
        <v>125</v>
      </c>
      <c r="K48" s="47">
        <f t="shared" si="3"/>
        <v>0</v>
      </c>
      <c r="L48" s="47">
        <f t="shared" si="3"/>
        <v>950000</v>
      </c>
      <c r="M48" s="47">
        <f t="shared" si="3"/>
        <v>0</v>
      </c>
      <c r="N48" s="47">
        <f t="shared" si="3"/>
        <v>0</v>
      </c>
      <c r="O48" s="48" t="s">
        <v>125</v>
      </c>
    </row>
    <row r="49" spans="1:15" s="44" customFormat="1" ht="22.5" customHeight="1">
      <c r="A49" s="114" t="s">
        <v>119</v>
      </c>
      <c r="B49" s="114"/>
      <c r="C49" s="114"/>
      <c r="D49" s="114"/>
      <c r="E49" s="49">
        <f>E46+E39+E36+E22+E48+E42</f>
        <v>9890462</v>
      </c>
      <c r="F49" s="49">
        <f>F46+F39+F36+F22+F48+F42</f>
        <v>95647</v>
      </c>
      <c r="G49" s="49">
        <f>G46+G39+G36+G22+G48+G42</f>
        <v>1593395</v>
      </c>
      <c r="H49" s="49">
        <f>H46+H39+H36+H22+H48+H42</f>
        <v>1220358</v>
      </c>
      <c r="I49" s="49">
        <f>I46+I39+I36+I22+I48+I42</f>
        <v>373037</v>
      </c>
      <c r="J49" s="49" t="s">
        <v>125</v>
      </c>
      <c r="K49" s="49">
        <f>K46+K39+K36+K22+K48+K42</f>
        <v>0</v>
      </c>
      <c r="L49" s="49">
        <f>L46+L39+L36+L22+L48+L42</f>
        <v>5211420</v>
      </c>
      <c r="M49" s="49">
        <f>M46+M39+M36+M22+M48+M42</f>
        <v>1990000</v>
      </c>
      <c r="N49" s="49">
        <f>N46+N39+N36+N22+N48+N42</f>
        <v>1000000</v>
      </c>
      <c r="O49" s="50" t="s">
        <v>125</v>
      </c>
    </row>
    <row r="50" ht="12.75">
      <c r="G50" s="83"/>
    </row>
    <row r="51" spans="5:15" ht="12.75">
      <c r="E51" s="83"/>
      <c r="F51" s="83"/>
      <c r="G51" s="83"/>
      <c r="H51" s="83"/>
      <c r="O51" s="80" t="s">
        <v>258</v>
      </c>
    </row>
    <row r="52" spans="5:15" ht="12.75">
      <c r="E52" s="83"/>
      <c r="F52" s="83"/>
      <c r="G52" s="83"/>
      <c r="I52" s="83"/>
      <c r="O52" s="80" t="s">
        <v>259</v>
      </c>
    </row>
    <row r="53" spans="5:15" ht="12.75">
      <c r="E53" s="83"/>
      <c r="F53" s="83"/>
      <c r="G53" s="83"/>
      <c r="I53" s="83"/>
      <c r="O53" s="80" t="s">
        <v>260</v>
      </c>
    </row>
    <row r="54" spans="6:10" ht="12.75">
      <c r="F54" s="83"/>
      <c r="G54" s="83"/>
      <c r="J54" s="83"/>
    </row>
    <row r="55" ht="12.75">
      <c r="G55" s="83"/>
    </row>
    <row r="56" ht="12.75">
      <c r="E56" s="83"/>
    </row>
    <row r="57" ht="12.75">
      <c r="G57" s="83"/>
    </row>
    <row r="66" ht="12.75">
      <c r="G66" s="83"/>
    </row>
  </sheetData>
  <mergeCells count="26">
    <mergeCell ref="A42:D42"/>
    <mergeCell ref="K1:O2"/>
    <mergeCell ref="A46:D46"/>
    <mergeCell ref="A22:D22"/>
    <mergeCell ref="A4:O4"/>
    <mergeCell ref="A6:A10"/>
    <mergeCell ref="B6:B10"/>
    <mergeCell ref="C6:C10"/>
    <mergeCell ref="D6:D10"/>
    <mergeCell ref="O6:O10"/>
    <mergeCell ref="E6:E10"/>
    <mergeCell ref="G7:G10"/>
    <mergeCell ref="M7:M10"/>
    <mergeCell ref="N7:N10"/>
    <mergeCell ref="G6:N6"/>
    <mergeCell ref="L7:L10"/>
    <mergeCell ref="A48:D48"/>
    <mergeCell ref="A39:D39"/>
    <mergeCell ref="A49:D49"/>
    <mergeCell ref="H7:K7"/>
    <mergeCell ref="H8:H10"/>
    <mergeCell ref="I8:I10"/>
    <mergeCell ref="J8:J10"/>
    <mergeCell ref="K8:K10"/>
    <mergeCell ref="F6:F10"/>
    <mergeCell ref="A36:D36"/>
  </mergeCells>
  <printOptions horizontalCentered="1"/>
  <pageMargins left="0.5118110236220472" right="0.3937007874015748" top="0.25" bottom="0.24" header="0.1968503937007874" footer="0.17"/>
  <pageSetup fitToHeight="4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SheetLayoutView="100" workbookViewId="0" topLeftCell="A49">
      <selection activeCell="K58" sqref="K58"/>
    </sheetView>
  </sheetViews>
  <sheetFormatPr defaultColWidth="9.00390625" defaultRowHeight="12.75"/>
  <cols>
    <col min="1" max="1" width="5.625" style="82" customWidth="1"/>
    <col min="2" max="2" width="6.875" style="82" customWidth="1"/>
    <col min="3" max="3" width="7.75390625" style="82" customWidth="1"/>
    <col min="4" max="4" width="16.00390625" style="82" customWidth="1"/>
    <col min="5" max="5" width="12.00390625" style="82" customWidth="1"/>
    <col min="6" max="6" width="12.75390625" style="82" customWidth="1"/>
    <col min="7" max="7" width="11.625" style="82" customWidth="1"/>
    <col min="8" max="8" width="10.125" style="82" customWidth="1"/>
    <col min="9" max="9" width="13.125" style="82" customWidth="1"/>
    <col min="10" max="10" width="14.375" style="82" customWidth="1"/>
    <col min="11" max="11" width="16.75390625" style="82" customWidth="1"/>
    <col min="12" max="16384" width="9.125" style="82" customWidth="1"/>
  </cols>
  <sheetData>
    <row r="1" spans="7:11" ht="12.75" customHeight="1">
      <c r="G1" s="122" t="s">
        <v>261</v>
      </c>
      <c r="H1" s="122"/>
      <c r="I1" s="122"/>
      <c r="J1" s="122"/>
      <c r="K1" s="122"/>
    </row>
    <row r="2" spans="7:11" ht="25.5" customHeight="1">
      <c r="G2" s="122"/>
      <c r="H2" s="122"/>
      <c r="I2" s="122"/>
      <c r="J2" s="122"/>
      <c r="K2" s="122"/>
    </row>
    <row r="3" spans="1:11" ht="18">
      <c r="A3" s="118" t="s">
        <v>185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</row>
    <row r="4" spans="1:11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4" t="s">
        <v>40</v>
      </c>
    </row>
    <row r="5" spans="1:11" s="33" customFormat="1" ht="19.5" customHeight="1">
      <c r="A5" s="121" t="s">
        <v>57</v>
      </c>
      <c r="B5" s="121" t="s">
        <v>2</v>
      </c>
      <c r="C5" s="121" t="s">
        <v>39</v>
      </c>
      <c r="D5" s="120" t="s">
        <v>143</v>
      </c>
      <c r="E5" s="120" t="s">
        <v>58</v>
      </c>
      <c r="F5" s="120" t="s">
        <v>76</v>
      </c>
      <c r="G5" s="120"/>
      <c r="H5" s="120"/>
      <c r="I5" s="120"/>
      <c r="J5" s="120"/>
      <c r="K5" s="120" t="s">
        <v>65</v>
      </c>
    </row>
    <row r="6" spans="1:11" s="33" customFormat="1" ht="19.5" customHeight="1">
      <c r="A6" s="121"/>
      <c r="B6" s="121"/>
      <c r="C6" s="121"/>
      <c r="D6" s="120"/>
      <c r="E6" s="120"/>
      <c r="F6" s="120" t="s">
        <v>105</v>
      </c>
      <c r="G6" s="120" t="s">
        <v>17</v>
      </c>
      <c r="H6" s="120"/>
      <c r="I6" s="120"/>
      <c r="J6" s="120"/>
      <c r="K6" s="120"/>
    </row>
    <row r="7" spans="1:11" s="33" customFormat="1" ht="29.25" customHeight="1">
      <c r="A7" s="121"/>
      <c r="B7" s="121"/>
      <c r="C7" s="121"/>
      <c r="D7" s="120"/>
      <c r="E7" s="120"/>
      <c r="F7" s="120"/>
      <c r="G7" s="120" t="s">
        <v>122</v>
      </c>
      <c r="H7" s="120" t="s">
        <v>106</v>
      </c>
      <c r="I7" s="120" t="s">
        <v>124</v>
      </c>
      <c r="J7" s="120" t="s">
        <v>107</v>
      </c>
      <c r="K7" s="120"/>
    </row>
    <row r="8" spans="1:11" s="33" customFormat="1" ht="19.5" customHeight="1">
      <c r="A8" s="121"/>
      <c r="B8" s="121"/>
      <c r="C8" s="121"/>
      <c r="D8" s="120"/>
      <c r="E8" s="120"/>
      <c r="F8" s="120"/>
      <c r="G8" s="120"/>
      <c r="H8" s="120"/>
      <c r="I8" s="120"/>
      <c r="J8" s="120"/>
      <c r="K8" s="120"/>
    </row>
    <row r="9" spans="1:11" s="33" customFormat="1" ht="19.5" customHeight="1">
      <c r="A9" s="121"/>
      <c r="B9" s="121"/>
      <c r="C9" s="121"/>
      <c r="D9" s="120"/>
      <c r="E9" s="120"/>
      <c r="F9" s="120"/>
      <c r="G9" s="120"/>
      <c r="H9" s="120"/>
      <c r="I9" s="120"/>
      <c r="J9" s="120"/>
      <c r="K9" s="120"/>
    </row>
    <row r="10" spans="1:11" ht="12" customHeigh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  <c r="K10" s="62">
        <v>11</v>
      </c>
    </row>
    <row r="11" spans="1:11" ht="54" customHeight="1">
      <c r="A11" s="62">
        <v>1</v>
      </c>
      <c r="B11" s="63" t="s">
        <v>144</v>
      </c>
      <c r="C11" s="63" t="s">
        <v>145</v>
      </c>
      <c r="D11" s="75" t="s">
        <v>175</v>
      </c>
      <c r="E11" s="65">
        <f>F11</f>
        <v>23000</v>
      </c>
      <c r="F11" s="65">
        <f>480000-450000-7000</f>
        <v>23000</v>
      </c>
      <c r="G11" s="65">
        <f>F11-H11</f>
        <v>23000</v>
      </c>
      <c r="H11" s="65">
        <v>0</v>
      </c>
      <c r="I11" s="40" t="s">
        <v>154</v>
      </c>
      <c r="J11" s="62">
        <v>0</v>
      </c>
      <c r="K11" s="51" t="s">
        <v>155</v>
      </c>
    </row>
    <row r="12" spans="1:11" s="41" customFormat="1" ht="12" customHeight="1">
      <c r="A12" s="117" t="s">
        <v>149</v>
      </c>
      <c r="B12" s="117"/>
      <c r="C12" s="117"/>
      <c r="D12" s="117"/>
      <c r="E12" s="66">
        <f>SUM(E11:E11)</f>
        <v>23000</v>
      </c>
      <c r="F12" s="66">
        <f>SUM(F11:F11)</f>
        <v>23000</v>
      </c>
      <c r="G12" s="66">
        <f>SUM(G11:G11)</f>
        <v>23000</v>
      </c>
      <c r="H12" s="66">
        <f>SUM(H11:H11)</f>
        <v>0</v>
      </c>
      <c r="I12" s="66" t="s">
        <v>125</v>
      </c>
      <c r="J12" s="66">
        <f>SUM(J11:J11)</f>
        <v>0</v>
      </c>
      <c r="K12" s="64" t="s">
        <v>125</v>
      </c>
    </row>
    <row r="13" spans="1:11" ht="52.5" customHeight="1">
      <c r="A13" s="51">
        <v>2</v>
      </c>
      <c r="B13" s="51">
        <v>600</v>
      </c>
      <c r="C13" s="51">
        <v>60013</v>
      </c>
      <c r="D13" s="38" t="s">
        <v>184</v>
      </c>
      <c r="E13" s="65">
        <v>80000</v>
      </c>
      <c r="F13" s="65">
        <v>80000</v>
      </c>
      <c r="G13" s="65">
        <f>F13</f>
        <v>80000</v>
      </c>
      <c r="H13" s="65">
        <v>0</v>
      </c>
      <c r="I13" s="40" t="s">
        <v>154</v>
      </c>
      <c r="J13" s="65">
        <v>0</v>
      </c>
      <c r="K13" s="51" t="s">
        <v>155</v>
      </c>
    </row>
    <row r="14" spans="1:11" ht="109.5" customHeight="1">
      <c r="A14" s="51">
        <v>3</v>
      </c>
      <c r="B14" s="51">
        <v>600</v>
      </c>
      <c r="C14" s="51">
        <v>60013</v>
      </c>
      <c r="D14" s="38" t="s">
        <v>245</v>
      </c>
      <c r="E14" s="65">
        <f>F14</f>
        <v>42000</v>
      </c>
      <c r="F14" s="65">
        <v>42000</v>
      </c>
      <c r="G14" s="65">
        <f>F14</f>
        <v>42000</v>
      </c>
      <c r="H14" s="65">
        <v>0</v>
      </c>
      <c r="I14" s="40" t="s">
        <v>154</v>
      </c>
      <c r="J14" s="65">
        <v>0</v>
      </c>
      <c r="K14" s="51" t="s">
        <v>155</v>
      </c>
    </row>
    <row r="15" spans="1:11" s="84" customFormat="1" ht="56.25" customHeight="1">
      <c r="A15" s="51">
        <v>4</v>
      </c>
      <c r="B15" s="51">
        <v>600</v>
      </c>
      <c r="C15" s="51">
        <v>60016</v>
      </c>
      <c r="D15" s="38" t="s">
        <v>177</v>
      </c>
      <c r="E15" s="76">
        <f>F15</f>
        <v>83000</v>
      </c>
      <c r="F15" s="76">
        <f>90000-7000</f>
        <v>83000</v>
      </c>
      <c r="G15" s="76">
        <f>F15</f>
        <v>83000</v>
      </c>
      <c r="H15" s="76">
        <v>0</v>
      </c>
      <c r="I15" s="40" t="s">
        <v>154</v>
      </c>
      <c r="J15" s="77">
        <v>0</v>
      </c>
      <c r="K15" s="51" t="s">
        <v>155</v>
      </c>
    </row>
    <row r="16" spans="1:11" s="84" customFormat="1" ht="54" customHeight="1">
      <c r="A16" s="51">
        <v>5</v>
      </c>
      <c r="B16" s="51">
        <v>600</v>
      </c>
      <c r="C16" s="51">
        <v>60016</v>
      </c>
      <c r="D16" s="38" t="s">
        <v>178</v>
      </c>
      <c r="E16" s="76">
        <v>128000</v>
      </c>
      <c r="F16" s="76">
        <f>190000-62000</f>
        <v>128000</v>
      </c>
      <c r="G16" s="76">
        <v>98000</v>
      </c>
      <c r="H16" s="76">
        <v>0</v>
      </c>
      <c r="I16" s="40" t="s">
        <v>210</v>
      </c>
      <c r="J16" s="77">
        <v>0</v>
      </c>
      <c r="K16" s="51" t="s">
        <v>155</v>
      </c>
    </row>
    <row r="17" spans="1:11" s="84" customFormat="1" ht="54" customHeight="1">
      <c r="A17" s="51">
        <v>6</v>
      </c>
      <c r="B17" s="51">
        <v>600</v>
      </c>
      <c r="C17" s="51">
        <v>60016</v>
      </c>
      <c r="D17" s="38" t="s">
        <v>191</v>
      </c>
      <c r="E17" s="76">
        <v>56000</v>
      </c>
      <c r="F17" s="76">
        <f>62000-6000</f>
        <v>56000</v>
      </c>
      <c r="G17" s="76">
        <v>56000</v>
      </c>
      <c r="H17" s="76">
        <v>0</v>
      </c>
      <c r="I17" s="40" t="s">
        <v>154</v>
      </c>
      <c r="J17" s="77">
        <v>0</v>
      </c>
      <c r="K17" s="51" t="s">
        <v>155</v>
      </c>
    </row>
    <row r="18" spans="1:11" s="84" customFormat="1" ht="72" customHeight="1">
      <c r="A18" s="51">
        <v>7</v>
      </c>
      <c r="B18" s="51">
        <v>600</v>
      </c>
      <c r="C18" s="51">
        <v>60016</v>
      </c>
      <c r="D18" s="38" t="s">
        <v>179</v>
      </c>
      <c r="E18" s="76">
        <v>180000</v>
      </c>
      <c r="F18" s="76">
        <v>180000</v>
      </c>
      <c r="G18" s="76">
        <v>180000</v>
      </c>
      <c r="H18" s="76">
        <v>0</v>
      </c>
      <c r="I18" s="40" t="s">
        <v>154</v>
      </c>
      <c r="J18" s="77">
        <v>0</v>
      </c>
      <c r="K18" s="51" t="s">
        <v>155</v>
      </c>
    </row>
    <row r="19" spans="1:11" s="84" customFormat="1" ht="72" customHeight="1">
      <c r="A19" s="51">
        <v>8</v>
      </c>
      <c r="B19" s="51">
        <v>600</v>
      </c>
      <c r="C19" s="51">
        <v>60016</v>
      </c>
      <c r="D19" s="38" t="s">
        <v>197</v>
      </c>
      <c r="E19" s="76">
        <f aca="true" t="shared" si="0" ref="E19:E24">F19</f>
        <v>30000</v>
      </c>
      <c r="F19" s="76">
        <v>30000</v>
      </c>
      <c r="G19" s="76">
        <f>F19</f>
        <v>30000</v>
      </c>
      <c r="H19" s="76">
        <v>0</v>
      </c>
      <c r="I19" s="40" t="s">
        <v>154</v>
      </c>
      <c r="J19" s="77">
        <v>0</v>
      </c>
      <c r="K19" s="51" t="s">
        <v>155</v>
      </c>
    </row>
    <row r="20" spans="1:11" s="84" customFormat="1" ht="72" customHeight="1">
      <c r="A20" s="51">
        <v>9</v>
      </c>
      <c r="B20" s="51">
        <v>600</v>
      </c>
      <c r="C20" s="51">
        <v>60016</v>
      </c>
      <c r="D20" s="38" t="s">
        <v>204</v>
      </c>
      <c r="E20" s="76">
        <f t="shared" si="0"/>
        <v>10000</v>
      </c>
      <c r="F20" s="76">
        <v>10000</v>
      </c>
      <c r="G20" s="76">
        <v>10000</v>
      </c>
      <c r="H20" s="76">
        <v>0</v>
      </c>
      <c r="I20" s="40" t="s">
        <v>154</v>
      </c>
      <c r="J20" s="77">
        <v>0</v>
      </c>
      <c r="K20" s="51" t="s">
        <v>155</v>
      </c>
    </row>
    <row r="21" spans="1:11" s="84" customFormat="1" ht="72" customHeight="1">
      <c r="A21" s="51">
        <v>10</v>
      </c>
      <c r="B21" s="51">
        <v>600</v>
      </c>
      <c r="C21" s="51">
        <v>60016</v>
      </c>
      <c r="D21" s="38" t="s">
        <v>198</v>
      </c>
      <c r="E21" s="76">
        <f t="shared" si="0"/>
        <v>98000</v>
      </c>
      <c r="F21" s="76">
        <f>G21</f>
        <v>98000</v>
      </c>
      <c r="G21" s="76">
        <v>98000</v>
      </c>
      <c r="H21" s="76">
        <v>0</v>
      </c>
      <c r="I21" s="40" t="s">
        <v>154</v>
      </c>
      <c r="J21" s="77">
        <v>0</v>
      </c>
      <c r="K21" s="51" t="s">
        <v>155</v>
      </c>
    </row>
    <row r="22" spans="1:11" s="84" customFormat="1" ht="72" customHeight="1">
      <c r="A22" s="51">
        <v>11</v>
      </c>
      <c r="B22" s="51">
        <v>600</v>
      </c>
      <c r="C22" s="51">
        <v>60016</v>
      </c>
      <c r="D22" s="38" t="s">
        <v>206</v>
      </c>
      <c r="E22" s="76">
        <f t="shared" si="0"/>
        <v>135000</v>
      </c>
      <c r="F22" s="76">
        <v>135000</v>
      </c>
      <c r="G22" s="76">
        <v>135000</v>
      </c>
      <c r="H22" s="76">
        <v>0</v>
      </c>
      <c r="I22" s="40" t="s">
        <v>154</v>
      </c>
      <c r="J22" s="77">
        <v>0</v>
      </c>
      <c r="K22" s="51" t="s">
        <v>155</v>
      </c>
    </row>
    <row r="23" spans="1:11" s="84" customFormat="1" ht="72" customHeight="1">
      <c r="A23" s="51">
        <v>12</v>
      </c>
      <c r="B23" s="51">
        <v>600</v>
      </c>
      <c r="C23" s="51">
        <v>60016</v>
      </c>
      <c r="D23" s="38" t="s">
        <v>209</v>
      </c>
      <c r="E23" s="76">
        <f t="shared" si="0"/>
        <v>153000</v>
      </c>
      <c r="F23" s="76">
        <f>70000+60000+23000</f>
        <v>153000</v>
      </c>
      <c r="G23" s="76">
        <f>F23</f>
        <v>153000</v>
      </c>
      <c r="H23" s="76">
        <v>0</v>
      </c>
      <c r="I23" s="40" t="s">
        <v>154</v>
      </c>
      <c r="J23" s="77">
        <v>0</v>
      </c>
      <c r="K23" s="51" t="s">
        <v>155</v>
      </c>
    </row>
    <row r="24" spans="1:12" s="84" customFormat="1" ht="72" customHeight="1">
      <c r="A24" s="51">
        <v>13</v>
      </c>
      <c r="B24" s="51">
        <v>600</v>
      </c>
      <c r="C24" s="51">
        <v>60016</v>
      </c>
      <c r="D24" s="38" t="s">
        <v>199</v>
      </c>
      <c r="E24" s="76">
        <f t="shared" si="0"/>
        <v>151000</v>
      </c>
      <c r="F24" s="76">
        <f>105000+46000</f>
        <v>151000</v>
      </c>
      <c r="G24" s="76">
        <f>F24</f>
        <v>151000</v>
      </c>
      <c r="H24" s="76">
        <v>0</v>
      </c>
      <c r="I24" s="40" t="s">
        <v>154</v>
      </c>
      <c r="J24" s="77">
        <v>0</v>
      </c>
      <c r="K24" s="51" t="s">
        <v>155</v>
      </c>
      <c r="L24" s="98"/>
    </row>
    <row r="25" spans="1:12" s="84" customFormat="1" ht="52.5" customHeight="1">
      <c r="A25" s="51">
        <v>14</v>
      </c>
      <c r="B25" s="51">
        <v>600</v>
      </c>
      <c r="C25" s="51">
        <v>60016</v>
      </c>
      <c r="D25" s="38" t="s">
        <v>247</v>
      </c>
      <c r="E25" s="76">
        <v>190000</v>
      </c>
      <c r="F25" s="76">
        <v>190000</v>
      </c>
      <c r="G25" s="76">
        <v>190000</v>
      </c>
      <c r="H25" s="76">
        <v>0</v>
      </c>
      <c r="I25" s="40" t="s">
        <v>154</v>
      </c>
      <c r="J25" s="77">
        <v>0</v>
      </c>
      <c r="K25" s="51" t="s">
        <v>155</v>
      </c>
      <c r="L25" s="98"/>
    </row>
    <row r="26" spans="1:12" s="84" customFormat="1" ht="52.5" customHeight="1">
      <c r="A26" s="51">
        <v>15</v>
      </c>
      <c r="B26" s="51">
        <v>600</v>
      </c>
      <c r="C26" s="51">
        <v>60016</v>
      </c>
      <c r="D26" s="38" t="s">
        <v>248</v>
      </c>
      <c r="E26" s="76">
        <v>7500</v>
      </c>
      <c r="F26" s="76">
        <v>7500</v>
      </c>
      <c r="G26" s="76">
        <v>7500</v>
      </c>
      <c r="H26" s="76">
        <v>0</v>
      </c>
      <c r="I26" s="40" t="s">
        <v>154</v>
      </c>
      <c r="J26" s="77">
        <v>0</v>
      </c>
      <c r="K26" s="51" t="s">
        <v>155</v>
      </c>
      <c r="L26" s="98"/>
    </row>
    <row r="27" spans="1:12" s="79" customFormat="1" ht="53.25" customHeight="1">
      <c r="A27" s="117" t="s">
        <v>150</v>
      </c>
      <c r="B27" s="117"/>
      <c r="C27" s="117"/>
      <c r="D27" s="117"/>
      <c r="E27" s="78">
        <f>E18+E16+E15+E13+E17+E19+E20+E21+E24+E22+E23+E14+E25+E26</f>
        <v>1343500</v>
      </c>
      <c r="F27" s="78">
        <f>F18+F16+F15+F13+F17+F19+F20+F21+F24+F22+F23+F14+F25+F26</f>
        <v>1343500</v>
      </c>
      <c r="G27" s="78">
        <f>G18+G16+G15+G13+G17+G19+G20+G21+G24+G22+G23+G14+G25+G26</f>
        <v>1313500</v>
      </c>
      <c r="H27" s="78">
        <f>H18+H16+H15+H13+H17+H19+H20+H21+H24+H22+H23+H14+H25+H26</f>
        <v>0</v>
      </c>
      <c r="I27" s="94" t="s">
        <v>210</v>
      </c>
      <c r="J27" s="78">
        <f>J18+J16+J15+J13</f>
        <v>0</v>
      </c>
      <c r="K27" s="78" t="s">
        <v>125</v>
      </c>
      <c r="L27" s="97"/>
    </row>
    <row r="28" spans="1:11" s="84" customFormat="1" ht="55.5" customHeight="1">
      <c r="A28" s="51">
        <v>16</v>
      </c>
      <c r="B28" s="51">
        <v>700</v>
      </c>
      <c r="C28" s="51">
        <v>70004</v>
      </c>
      <c r="D28" s="38" t="s">
        <v>207</v>
      </c>
      <c r="E28" s="76">
        <f>F28</f>
        <v>34000</v>
      </c>
      <c r="F28" s="76">
        <v>34000</v>
      </c>
      <c r="G28" s="76">
        <v>34000</v>
      </c>
      <c r="H28" s="76">
        <v>0</v>
      </c>
      <c r="I28" s="40" t="s">
        <v>154</v>
      </c>
      <c r="J28" s="76">
        <v>0</v>
      </c>
      <c r="K28" s="51" t="s">
        <v>155</v>
      </c>
    </row>
    <row r="29" spans="1:11" ht="62.25" customHeight="1">
      <c r="A29" s="45">
        <v>17</v>
      </c>
      <c r="B29" s="45">
        <v>700</v>
      </c>
      <c r="C29" s="45">
        <v>70005</v>
      </c>
      <c r="D29" s="38" t="s">
        <v>153</v>
      </c>
      <c r="E29" s="95">
        <f>F29</f>
        <v>31000</v>
      </c>
      <c r="F29" s="95">
        <f>G29</f>
        <v>31000</v>
      </c>
      <c r="G29" s="95">
        <f>50000-19000</f>
        <v>31000</v>
      </c>
      <c r="H29" s="95">
        <v>0</v>
      </c>
      <c r="I29" s="40" t="s">
        <v>154</v>
      </c>
      <c r="J29" s="45">
        <v>0</v>
      </c>
      <c r="K29" s="51" t="s">
        <v>155</v>
      </c>
    </row>
    <row r="30" spans="1:11" ht="139.5" customHeight="1">
      <c r="A30" s="45">
        <v>18</v>
      </c>
      <c r="B30" s="45">
        <v>700</v>
      </c>
      <c r="C30" s="45">
        <v>70095</v>
      </c>
      <c r="D30" s="38" t="s">
        <v>208</v>
      </c>
      <c r="E30" s="95">
        <f>F30</f>
        <v>178720</v>
      </c>
      <c r="F30" s="95">
        <f>116000+49685+10035+3000</f>
        <v>178720</v>
      </c>
      <c r="G30" s="95">
        <f>F30-49685</f>
        <v>129035</v>
      </c>
      <c r="H30" s="95">
        <v>0</v>
      </c>
      <c r="I30" s="40" t="s">
        <v>243</v>
      </c>
      <c r="J30" s="45">
        <v>0</v>
      </c>
      <c r="K30" s="51" t="s">
        <v>155</v>
      </c>
    </row>
    <row r="31" spans="1:11" s="41" customFormat="1" ht="72" customHeight="1">
      <c r="A31" s="117" t="s">
        <v>157</v>
      </c>
      <c r="B31" s="117"/>
      <c r="C31" s="117"/>
      <c r="D31" s="117"/>
      <c r="E31" s="47">
        <f>E29+E28+E30</f>
        <v>243720</v>
      </c>
      <c r="F31" s="47">
        <f>F29+F28+F30</f>
        <v>243720</v>
      </c>
      <c r="G31" s="47">
        <f>G29+G28+G30</f>
        <v>194035</v>
      </c>
      <c r="H31" s="47">
        <f>H29+H28+H30</f>
        <v>0</v>
      </c>
      <c r="I31" s="94" t="s">
        <v>243</v>
      </c>
      <c r="J31" s="48">
        <f>J29</f>
        <v>0</v>
      </c>
      <c r="K31" s="43" t="s">
        <v>125</v>
      </c>
    </row>
    <row r="32" spans="1:11" ht="115.5" customHeight="1">
      <c r="A32" s="51">
        <v>19</v>
      </c>
      <c r="B32" s="51">
        <v>750</v>
      </c>
      <c r="C32" s="51">
        <v>75020</v>
      </c>
      <c r="D32" s="38" t="s">
        <v>242</v>
      </c>
      <c r="E32" s="95">
        <f>F32</f>
        <v>20000</v>
      </c>
      <c r="F32" s="95">
        <v>20000</v>
      </c>
      <c r="G32" s="95">
        <v>20000</v>
      </c>
      <c r="H32" s="95">
        <v>0</v>
      </c>
      <c r="I32" s="40" t="s">
        <v>154</v>
      </c>
      <c r="J32" s="45">
        <v>0</v>
      </c>
      <c r="K32" s="51" t="s">
        <v>155</v>
      </c>
    </row>
    <row r="33" spans="1:11" ht="51">
      <c r="A33" s="45">
        <v>20</v>
      </c>
      <c r="B33" s="45">
        <v>750</v>
      </c>
      <c r="C33" s="45">
        <v>75023</v>
      </c>
      <c r="D33" s="38" t="s">
        <v>183</v>
      </c>
      <c r="E33" s="95">
        <f>F33</f>
        <v>70000</v>
      </c>
      <c r="F33" s="95">
        <f>50000+20000</f>
        <v>70000</v>
      </c>
      <c r="G33" s="95">
        <f>50000+20000</f>
        <v>70000</v>
      </c>
      <c r="H33" s="95">
        <v>0</v>
      </c>
      <c r="I33" s="40" t="s">
        <v>154</v>
      </c>
      <c r="J33" s="45">
        <v>0</v>
      </c>
      <c r="K33" s="51" t="s">
        <v>155</v>
      </c>
    </row>
    <row r="34" spans="1:11" ht="51">
      <c r="A34" s="45">
        <v>21</v>
      </c>
      <c r="B34" s="45">
        <v>750</v>
      </c>
      <c r="C34" s="45">
        <v>75023</v>
      </c>
      <c r="D34" s="38" t="s">
        <v>158</v>
      </c>
      <c r="E34" s="95">
        <v>50000</v>
      </c>
      <c r="F34" s="95">
        <v>50000</v>
      </c>
      <c r="G34" s="95">
        <v>50000</v>
      </c>
      <c r="H34" s="95">
        <v>0</v>
      </c>
      <c r="I34" s="40" t="s">
        <v>154</v>
      </c>
      <c r="J34" s="45">
        <v>0</v>
      </c>
      <c r="K34" s="51" t="s">
        <v>155</v>
      </c>
    </row>
    <row r="35" spans="1:11" s="41" customFormat="1" ht="21" customHeight="1">
      <c r="A35" s="117" t="s">
        <v>156</v>
      </c>
      <c r="B35" s="117"/>
      <c r="C35" s="117"/>
      <c r="D35" s="117"/>
      <c r="E35" s="47">
        <f>E33+E34+E32</f>
        <v>140000</v>
      </c>
      <c r="F35" s="47">
        <f>F33+F34+F32</f>
        <v>140000</v>
      </c>
      <c r="G35" s="47">
        <f>G33+G34+G32</f>
        <v>140000</v>
      </c>
      <c r="H35" s="47">
        <f>H33+H34+H32</f>
        <v>0</v>
      </c>
      <c r="I35" s="48" t="s">
        <v>125</v>
      </c>
      <c r="J35" s="48">
        <f>J34+J33</f>
        <v>0</v>
      </c>
      <c r="K35" s="43" t="s">
        <v>125</v>
      </c>
    </row>
    <row r="36" spans="1:11" ht="90.75" customHeight="1">
      <c r="A36" s="51">
        <v>22</v>
      </c>
      <c r="B36" s="75">
        <v>801</v>
      </c>
      <c r="C36" s="75">
        <v>80101</v>
      </c>
      <c r="D36" s="75" t="s">
        <v>181</v>
      </c>
      <c r="E36" s="95">
        <f>50000-6000</f>
        <v>44000</v>
      </c>
      <c r="F36" s="95">
        <f>E36</f>
        <v>44000</v>
      </c>
      <c r="G36" s="95">
        <f>F36</f>
        <v>44000</v>
      </c>
      <c r="H36" s="95">
        <v>0</v>
      </c>
      <c r="I36" s="40" t="s">
        <v>154</v>
      </c>
      <c r="J36" s="45">
        <v>0</v>
      </c>
      <c r="K36" s="51" t="s">
        <v>155</v>
      </c>
    </row>
    <row r="37" spans="1:11" ht="90.75" customHeight="1">
      <c r="A37" s="51">
        <v>23</v>
      </c>
      <c r="B37" s="75">
        <v>801</v>
      </c>
      <c r="C37" s="75">
        <v>80101</v>
      </c>
      <c r="D37" s="75" t="s">
        <v>190</v>
      </c>
      <c r="E37" s="95">
        <v>5307</v>
      </c>
      <c r="F37" s="95">
        <v>5307</v>
      </c>
      <c r="G37" s="95">
        <v>5307</v>
      </c>
      <c r="H37" s="95">
        <v>0</v>
      </c>
      <c r="I37" s="40" t="s">
        <v>154</v>
      </c>
      <c r="J37" s="45">
        <v>0</v>
      </c>
      <c r="K37" s="51" t="s">
        <v>155</v>
      </c>
    </row>
    <row r="38" spans="1:11" ht="56.25" customHeight="1">
      <c r="A38" s="51">
        <v>24</v>
      </c>
      <c r="B38" s="75">
        <v>801</v>
      </c>
      <c r="C38" s="75">
        <v>80110</v>
      </c>
      <c r="D38" s="75" t="s">
        <v>182</v>
      </c>
      <c r="E38" s="95">
        <v>30000</v>
      </c>
      <c r="F38" s="95">
        <v>30000</v>
      </c>
      <c r="G38" s="95">
        <v>30000</v>
      </c>
      <c r="H38" s="95">
        <v>0</v>
      </c>
      <c r="I38" s="40" t="s">
        <v>154</v>
      </c>
      <c r="J38" s="45">
        <v>0</v>
      </c>
      <c r="K38" s="51" t="s">
        <v>155</v>
      </c>
    </row>
    <row r="39" spans="1:11" ht="121.5" customHeight="1">
      <c r="A39" s="51">
        <v>25</v>
      </c>
      <c r="B39" s="75">
        <v>801</v>
      </c>
      <c r="C39" s="75">
        <v>80110</v>
      </c>
      <c r="D39" s="75" t="s">
        <v>194</v>
      </c>
      <c r="E39" s="95">
        <v>205000</v>
      </c>
      <c r="F39" s="95">
        <v>205000</v>
      </c>
      <c r="G39" s="95">
        <f>F39</f>
        <v>205000</v>
      </c>
      <c r="H39" s="95"/>
      <c r="I39" s="40" t="s">
        <v>154</v>
      </c>
      <c r="J39" s="45">
        <v>0</v>
      </c>
      <c r="K39" s="51" t="s">
        <v>155</v>
      </c>
    </row>
    <row r="40" spans="1:11" s="41" customFormat="1" ht="21" customHeight="1">
      <c r="A40" s="117" t="s">
        <v>176</v>
      </c>
      <c r="B40" s="117"/>
      <c r="C40" s="117"/>
      <c r="D40" s="117"/>
      <c r="E40" s="96">
        <f>E38+E36+E37+E39</f>
        <v>284307</v>
      </c>
      <c r="F40" s="96">
        <f>F38+F36+F37+F39</f>
        <v>284307</v>
      </c>
      <c r="G40" s="96">
        <f>G38+G36+G37+G39</f>
        <v>284307</v>
      </c>
      <c r="H40" s="96">
        <f>H38+H36+H37+H39</f>
        <v>0</v>
      </c>
      <c r="I40" s="47" t="s">
        <v>125</v>
      </c>
      <c r="J40" s="47">
        <f>J38+J36</f>
        <v>0</v>
      </c>
      <c r="K40" s="43" t="s">
        <v>125</v>
      </c>
    </row>
    <row r="41" spans="1:11" ht="60" customHeight="1">
      <c r="A41" s="51">
        <v>26</v>
      </c>
      <c r="B41" s="38">
        <v>900</v>
      </c>
      <c r="C41" s="38">
        <v>90001</v>
      </c>
      <c r="D41" s="38" t="s">
        <v>201</v>
      </c>
      <c r="E41" s="46">
        <f>F41</f>
        <v>70000</v>
      </c>
      <c r="F41" s="46">
        <f>50000+20000</f>
        <v>70000</v>
      </c>
      <c r="G41" s="46">
        <f>F41</f>
        <v>70000</v>
      </c>
      <c r="H41" s="46">
        <v>0</v>
      </c>
      <c r="I41" s="40" t="s">
        <v>154</v>
      </c>
      <c r="J41" s="46">
        <v>0</v>
      </c>
      <c r="K41" s="51" t="s">
        <v>155</v>
      </c>
    </row>
    <row r="42" spans="1:11" ht="82.5" customHeight="1">
      <c r="A42" s="51">
        <v>27</v>
      </c>
      <c r="B42" s="38">
        <v>900</v>
      </c>
      <c r="C42" s="38">
        <v>90005</v>
      </c>
      <c r="D42" s="38" t="s">
        <v>203</v>
      </c>
      <c r="E42" s="46">
        <v>0</v>
      </c>
      <c r="F42" s="46">
        <v>0</v>
      </c>
      <c r="G42" s="46">
        <v>0</v>
      </c>
      <c r="H42" s="46">
        <v>0</v>
      </c>
      <c r="I42" s="40" t="s">
        <v>154</v>
      </c>
      <c r="J42" s="46">
        <v>0</v>
      </c>
      <c r="K42" s="51" t="s">
        <v>155</v>
      </c>
    </row>
    <row r="43" spans="1:11" ht="106.5" customHeight="1">
      <c r="A43" s="51">
        <v>28</v>
      </c>
      <c r="B43" s="38">
        <v>900</v>
      </c>
      <c r="C43" s="38">
        <v>90015</v>
      </c>
      <c r="D43" s="38" t="s">
        <v>189</v>
      </c>
      <c r="E43" s="46">
        <f>F43</f>
        <v>95000</v>
      </c>
      <c r="F43" s="46">
        <f>100000-4000-1000</f>
        <v>95000</v>
      </c>
      <c r="G43" s="46">
        <f>100000-4000-1000</f>
        <v>95000</v>
      </c>
      <c r="H43" s="46">
        <v>0</v>
      </c>
      <c r="I43" s="40" t="s">
        <v>154</v>
      </c>
      <c r="J43" s="46">
        <v>0</v>
      </c>
      <c r="K43" s="51" t="s">
        <v>155</v>
      </c>
    </row>
    <row r="44" spans="1:11" ht="54" customHeight="1">
      <c r="A44" s="51">
        <v>29</v>
      </c>
      <c r="B44" s="38">
        <v>900</v>
      </c>
      <c r="C44" s="38">
        <v>90015</v>
      </c>
      <c r="D44" s="38" t="s">
        <v>192</v>
      </c>
      <c r="E44" s="46">
        <f>F44</f>
        <v>32000</v>
      </c>
      <c r="F44" s="46">
        <f>12000+20000</f>
        <v>32000</v>
      </c>
      <c r="G44" s="46">
        <f>12000+20000</f>
        <v>32000</v>
      </c>
      <c r="H44" s="46">
        <v>0</v>
      </c>
      <c r="I44" s="40" t="s">
        <v>154</v>
      </c>
      <c r="J44" s="45">
        <v>0</v>
      </c>
      <c r="K44" s="51" t="s">
        <v>155</v>
      </c>
    </row>
    <row r="45" spans="1:11" ht="75.75" customHeight="1">
      <c r="A45" s="51">
        <v>30</v>
      </c>
      <c r="B45" s="38">
        <v>900</v>
      </c>
      <c r="C45" s="38">
        <v>90015</v>
      </c>
      <c r="D45" s="38" t="s">
        <v>193</v>
      </c>
      <c r="E45" s="46">
        <v>8000</v>
      </c>
      <c r="F45" s="46">
        <v>8000</v>
      </c>
      <c r="G45" s="46">
        <v>8000</v>
      </c>
      <c r="H45" s="46">
        <v>0</v>
      </c>
      <c r="I45" s="40" t="s">
        <v>154</v>
      </c>
      <c r="J45" s="45">
        <v>0</v>
      </c>
      <c r="K45" s="51" t="s">
        <v>155</v>
      </c>
    </row>
    <row r="46" spans="1:11" ht="75.75" customHeight="1">
      <c r="A46" s="51">
        <v>31</v>
      </c>
      <c r="B46" s="38">
        <v>900</v>
      </c>
      <c r="C46" s="38">
        <v>90015</v>
      </c>
      <c r="D46" s="38" t="s">
        <v>195</v>
      </c>
      <c r="E46" s="46">
        <v>3600</v>
      </c>
      <c r="F46" s="46">
        <v>3600</v>
      </c>
      <c r="G46" s="46">
        <v>3600</v>
      </c>
      <c r="H46" s="46">
        <v>0</v>
      </c>
      <c r="I46" s="40" t="s">
        <v>154</v>
      </c>
      <c r="J46" s="45">
        <v>0</v>
      </c>
      <c r="K46" s="51" t="s">
        <v>155</v>
      </c>
    </row>
    <row r="47" spans="1:11" ht="75.75" customHeight="1">
      <c r="A47" s="51">
        <v>32</v>
      </c>
      <c r="B47" s="38">
        <v>900</v>
      </c>
      <c r="C47" s="38">
        <v>90015</v>
      </c>
      <c r="D47" s="38" t="s">
        <v>196</v>
      </c>
      <c r="E47" s="46">
        <v>10000</v>
      </c>
      <c r="F47" s="46">
        <v>10000</v>
      </c>
      <c r="G47" s="46">
        <v>10000</v>
      </c>
      <c r="H47" s="46">
        <v>0</v>
      </c>
      <c r="I47" s="40" t="s">
        <v>154</v>
      </c>
      <c r="J47" s="45">
        <v>0</v>
      </c>
      <c r="K47" s="51" t="s">
        <v>155</v>
      </c>
    </row>
    <row r="48" spans="1:11" ht="75.75" customHeight="1">
      <c r="A48" s="51">
        <v>33</v>
      </c>
      <c r="B48" s="38">
        <v>900</v>
      </c>
      <c r="C48" s="38">
        <v>90015</v>
      </c>
      <c r="D48" s="38" t="s">
        <v>200</v>
      </c>
      <c r="E48" s="46">
        <f>F48</f>
        <v>6000</v>
      </c>
      <c r="F48" s="46">
        <v>6000</v>
      </c>
      <c r="G48" s="46">
        <v>6000</v>
      </c>
      <c r="H48" s="46">
        <v>0</v>
      </c>
      <c r="I48" s="40" t="s">
        <v>154</v>
      </c>
      <c r="J48" s="45">
        <v>0</v>
      </c>
      <c r="K48" s="51" t="s">
        <v>155</v>
      </c>
    </row>
    <row r="49" spans="1:11" ht="75.75" customHeight="1">
      <c r="A49" s="51">
        <v>34</v>
      </c>
      <c r="B49" s="38">
        <v>900</v>
      </c>
      <c r="C49" s="38">
        <v>90015</v>
      </c>
      <c r="D49" s="38" t="s">
        <v>202</v>
      </c>
      <c r="E49" s="46">
        <f>F49</f>
        <v>100000</v>
      </c>
      <c r="F49" s="46">
        <v>100000</v>
      </c>
      <c r="G49" s="46">
        <v>100000</v>
      </c>
      <c r="H49" s="46">
        <v>0</v>
      </c>
      <c r="I49" s="40" t="s">
        <v>154</v>
      </c>
      <c r="J49" s="45">
        <v>0</v>
      </c>
      <c r="K49" s="51" t="s">
        <v>155</v>
      </c>
    </row>
    <row r="50" spans="1:11" ht="54.75" customHeight="1">
      <c r="A50" s="51">
        <v>35</v>
      </c>
      <c r="B50" s="38">
        <v>900</v>
      </c>
      <c r="C50" s="38">
        <v>90095</v>
      </c>
      <c r="D50" s="38" t="s">
        <v>180</v>
      </c>
      <c r="E50" s="46">
        <f>F50</f>
        <v>13000</v>
      </c>
      <c r="F50" s="46">
        <f>100000-20000-25000-40000-2000</f>
        <v>13000</v>
      </c>
      <c r="G50" s="46">
        <f>F50</f>
        <v>13000</v>
      </c>
      <c r="H50" s="46">
        <v>0</v>
      </c>
      <c r="I50" s="40" t="s">
        <v>154</v>
      </c>
      <c r="J50" s="45">
        <v>0</v>
      </c>
      <c r="K50" s="51" t="s">
        <v>155</v>
      </c>
    </row>
    <row r="51" spans="1:11" s="41" customFormat="1" ht="17.25" customHeight="1">
      <c r="A51" s="117" t="s">
        <v>151</v>
      </c>
      <c r="B51" s="117"/>
      <c r="C51" s="117"/>
      <c r="D51" s="117"/>
      <c r="E51" s="47">
        <f>E50+E43+E45+E44+E47+E46+E41+E42+E48+E49</f>
        <v>337600</v>
      </c>
      <c r="F51" s="47">
        <f>F50+F43+F45+F44+F47+F46+F41+F42+F48+F49</f>
        <v>337600</v>
      </c>
      <c r="G51" s="47">
        <f>G50+G43+G45+G44+G47+G46+G41+G42+G48+G49</f>
        <v>337600</v>
      </c>
      <c r="H51" s="47">
        <f>H50+H43+H45+H44+H47+H46+H41+H42+H48+H49</f>
        <v>0</v>
      </c>
      <c r="I51" s="47" t="s">
        <v>125</v>
      </c>
      <c r="J51" s="47">
        <f>J50</f>
        <v>0</v>
      </c>
      <c r="K51" s="43" t="s">
        <v>125</v>
      </c>
    </row>
    <row r="52" spans="1:11" ht="98.25" customHeight="1">
      <c r="A52" s="39">
        <v>36</v>
      </c>
      <c r="B52" s="75">
        <v>921</v>
      </c>
      <c r="C52" s="75">
        <v>92120</v>
      </c>
      <c r="D52" s="75" t="s">
        <v>205</v>
      </c>
      <c r="E52" s="46">
        <f>F52</f>
        <v>125000</v>
      </c>
      <c r="F52" s="46">
        <v>125000</v>
      </c>
      <c r="G52" s="46">
        <v>125000</v>
      </c>
      <c r="H52" s="46">
        <v>0</v>
      </c>
      <c r="I52" s="40" t="s">
        <v>154</v>
      </c>
      <c r="J52" s="45">
        <v>0</v>
      </c>
      <c r="K52" s="51" t="s">
        <v>155</v>
      </c>
    </row>
    <row r="53" spans="1:11" s="41" customFormat="1" ht="16.5" customHeight="1">
      <c r="A53" s="113" t="s">
        <v>186</v>
      </c>
      <c r="B53" s="113"/>
      <c r="C53" s="113"/>
      <c r="D53" s="113"/>
      <c r="E53" s="47">
        <f>E52</f>
        <v>125000</v>
      </c>
      <c r="F53" s="47">
        <f>F52</f>
        <v>125000</v>
      </c>
      <c r="G53" s="47">
        <f>F52</f>
        <v>125000</v>
      </c>
      <c r="H53" s="47">
        <f>H52</f>
        <v>0</v>
      </c>
      <c r="I53" s="47" t="s">
        <v>125</v>
      </c>
      <c r="J53" s="47">
        <f>J52</f>
        <v>0</v>
      </c>
      <c r="K53" s="47" t="s">
        <v>125</v>
      </c>
    </row>
    <row r="54" spans="1:11" ht="61.5" customHeight="1">
      <c r="A54" s="114" t="s">
        <v>119</v>
      </c>
      <c r="B54" s="114"/>
      <c r="C54" s="114"/>
      <c r="D54" s="114"/>
      <c r="E54" s="49">
        <f>E53+E51+E40+E35+E31+E27+E12</f>
        <v>2497127</v>
      </c>
      <c r="F54" s="49">
        <f>F53+F51+F40+F35+F31+F27+F12</f>
        <v>2497127</v>
      </c>
      <c r="G54" s="49">
        <f>G53+G51+G40+G35+G31+G27+G12</f>
        <v>2417442</v>
      </c>
      <c r="H54" s="49">
        <f>H53+H51+H40+H35+H31+H27+H12</f>
        <v>0</v>
      </c>
      <c r="I54" s="94" t="s">
        <v>244</v>
      </c>
      <c r="J54" s="49">
        <f>J53+J51+J40+J35+J31+J27+J12</f>
        <v>0</v>
      </c>
      <c r="K54" s="50" t="s">
        <v>125</v>
      </c>
    </row>
    <row r="55" spans="6:7" ht="12.75">
      <c r="F55" s="99"/>
      <c r="G55" s="99"/>
    </row>
    <row r="56" spans="6:11" ht="12.75">
      <c r="F56" s="99"/>
      <c r="G56" s="99"/>
      <c r="H56" s="99"/>
      <c r="K56" s="82" t="s">
        <v>258</v>
      </c>
    </row>
    <row r="57" spans="5:11" ht="12.75">
      <c r="E57" s="99"/>
      <c r="G57" s="99"/>
      <c r="H57" s="99"/>
      <c r="K57" s="82" t="s">
        <v>259</v>
      </c>
    </row>
    <row r="58" spans="5:11" ht="12.75">
      <c r="E58" s="99"/>
      <c r="G58" s="99"/>
      <c r="H58" s="99"/>
      <c r="K58" s="82" t="s">
        <v>262</v>
      </c>
    </row>
    <row r="59" ht="12.75">
      <c r="E59" s="99"/>
    </row>
    <row r="60" ht="12.75">
      <c r="F60" s="99"/>
    </row>
  </sheetData>
  <mergeCells count="23">
    <mergeCell ref="G1:K2"/>
    <mergeCell ref="A31:D31"/>
    <mergeCell ref="A35:D35"/>
    <mergeCell ref="E5:E9"/>
    <mergeCell ref="G7:G9"/>
    <mergeCell ref="A12:D12"/>
    <mergeCell ref="F6:F9"/>
    <mergeCell ref="A27:D27"/>
    <mergeCell ref="H7:H9"/>
    <mergeCell ref="A3:K3"/>
    <mergeCell ref="A54:D54"/>
    <mergeCell ref="A53:D53"/>
    <mergeCell ref="A51:D51"/>
    <mergeCell ref="A40:D40"/>
    <mergeCell ref="A5:A9"/>
    <mergeCell ref="B5:B9"/>
    <mergeCell ref="C5:C9"/>
    <mergeCell ref="D5:D9"/>
    <mergeCell ref="F5:J5"/>
    <mergeCell ref="K5:K9"/>
    <mergeCell ref="I7:I9"/>
    <mergeCell ref="G6:J6"/>
    <mergeCell ref="J7:J9"/>
  </mergeCells>
  <printOptions horizontalCentered="1"/>
  <pageMargins left="0.5" right="0.3937007874015748" top="0.38" bottom="0.4" header="0.27" footer="0.26"/>
  <pageSetup fitToHeight="3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20">
      <selection activeCell="D40" sqref="D4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3:6" ht="12.75">
      <c r="C1" s="123" t="s">
        <v>263</v>
      </c>
      <c r="D1" s="123"/>
      <c r="E1" s="123"/>
      <c r="F1" s="123"/>
    </row>
    <row r="2" spans="3:6" ht="39.75" customHeight="1">
      <c r="C2" s="123"/>
      <c r="D2" s="123"/>
      <c r="E2" s="123"/>
      <c r="F2" s="123"/>
    </row>
    <row r="3" ht="6" customHeight="1"/>
    <row r="4" spans="1:4" ht="12" customHeight="1">
      <c r="A4" s="126" t="s">
        <v>68</v>
      </c>
      <c r="B4" s="126"/>
      <c r="C4" s="126"/>
      <c r="D4" s="126"/>
    </row>
    <row r="5" ht="6.75" customHeight="1">
      <c r="A5" s="12"/>
    </row>
    <row r="6" ht="2.25" customHeight="1">
      <c r="D6" s="5" t="s">
        <v>40</v>
      </c>
    </row>
    <row r="7" spans="1:4" ht="15" customHeight="1">
      <c r="A7" s="121" t="s">
        <v>57</v>
      </c>
      <c r="B7" s="121" t="s">
        <v>5</v>
      </c>
      <c r="C7" s="120" t="s">
        <v>59</v>
      </c>
      <c r="D7" s="120" t="s">
        <v>60</v>
      </c>
    </row>
    <row r="8" spans="1:4" ht="15" customHeight="1">
      <c r="A8" s="121"/>
      <c r="B8" s="121"/>
      <c r="C8" s="121"/>
      <c r="D8" s="120"/>
    </row>
    <row r="9" spans="1:4" ht="15.75" customHeight="1">
      <c r="A9" s="121"/>
      <c r="B9" s="121"/>
      <c r="C9" s="121"/>
      <c r="D9" s="120"/>
    </row>
    <row r="10" spans="1:4" s="37" customFormat="1" ht="11.25" customHeight="1">
      <c r="A10" s="62">
        <v>1</v>
      </c>
      <c r="B10" s="62">
        <v>2</v>
      </c>
      <c r="C10" s="62">
        <v>3</v>
      </c>
      <c r="D10" s="62">
        <v>4</v>
      </c>
    </row>
    <row r="11" spans="1:4" ht="18.75" customHeight="1">
      <c r="A11" s="125" t="s">
        <v>25</v>
      </c>
      <c r="B11" s="125"/>
      <c r="C11" s="17"/>
      <c r="D11" s="55">
        <f>D12+D13+D14+D15+D16+D17+D18+D19+D20+D21+D22+D23+D24+D25</f>
        <v>1773097</v>
      </c>
    </row>
    <row r="12" spans="1:5" ht="18.75" customHeight="1">
      <c r="A12" s="19" t="s">
        <v>11</v>
      </c>
      <c r="B12" s="20" t="s">
        <v>19</v>
      </c>
      <c r="C12" s="19" t="s">
        <v>26</v>
      </c>
      <c r="D12" s="72"/>
      <c r="E12" s="59"/>
    </row>
    <row r="13" spans="1:6" ht="18.75" customHeight="1">
      <c r="A13" s="21" t="s">
        <v>12</v>
      </c>
      <c r="B13" s="22" t="s">
        <v>20</v>
      </c>
      <c r="C13" s="21" t="s">
        <v>26</v>
      </c>
      <c r="D13" s="73">
        <v>239700</v>
      </c>
      <c r="E13" s="59"/>
      <c r="F13" s="59"/>
    </row>
    <row r="14" spans="1:6" ht="43.5" customHeight="1">
      <c r="A14" s="21" t="s">
        <v>13</v>
      </c>
      <c r="B14" s="23" t="s">
        <v>115</v>
      </c>
      <c r="C14" s="21" t="s">
        <v>46</v>
      </c>
      <c r="D14" s="73">
        <v>133337</v>
      </c>
      <c r="F14" s="59"/>
    </row>
    <row r="15" spans="1:4" ht="18.75" customHeight="1">
      <c r="A15" s="21" t="s">
        <v>1</v>
      </c>
      <c r="B15" s="22" t="s">
        <v>28</v>
      </c>
      <c r="C15" s="21" t="s">
        <v>47</v>
      </c>
      <c r="D15" s="73"/>
    </row>
    <row r="16" spans="1:4" ht="18.75" customHeight="1">
      <c r="A16" s="21" t="s">
        <v>18</v>
      </c>
      <c r="B16" s="22" t="s">
        <v>116</v>
      </c>
      <c r="C16" s="21" t="s">
        <v>139</v>
      </c>
      <c r="D16" s="73"/>
    </row>
    <row r="17" spans="1:4" ht="18.75" customHeight="1">
      <c r="A17" s="21" t="s">
        <v>131</v>
      </c>
      <c r="B17" s="22" t="s">
        <v>135</v>
      </c>
      <c r="C17" s="21" t="s">
        <v>126</v>
      </c>
      <c r="D17" s="73"/>
    </row>
    <row r="18" spans="1:4" ht="18.75" customHeight="1">
      <c r="A18" s="21" t="s">
        <v>132</v>
      </c>
      <c r="B18" s="22" t="s">
        <v>136</v>
      </c>
      <c r="C18" s="21" t="s">
        <v>127</v>
      </c>
      <c r="D18" s="73"/>
    </row>
    <row r="19" spans="1:4" ht="44.25" customHeight="1">
      <c r="A19" s="21" t="s">
        <v>133</v>
      </c>
      <c r="B19" s="23" t="s">
        <v>137</v>
      </c>
      <c r="C19" s="21" t="s">
        <v>128</v>
      </c>
      <c r="D19" s="73"/>
    </row>
    <row r="20" spans="1:4" ht="18.75" customHeight="1">
      <c r="A20" s="21" t="s">
        <v>134</v>
      </c>
      <c r="B20" s="22" t="s">
        <v>138</v>
      </c>
      <c r="C20" s="21" t="s">
        <v>129</v>
      </c>
      <c r="D20" s="73"/>
    </row>
    <row r="21" spans="1:4" ht="18.75" customHeight="1">
      <c r="A21" s="21" t="s">
        <v>21</v>
      </c>
      <c r="B21" s="22" t="s">
        <v>22</v>
      </c>
      <c r="C21" s="21" t="s">
        <v>27</v>
      </c>
      <c r="D21" s="73"/>
    </row>
    <row r="22" spans="1:4" ht="18.75" customHeight="1">
      <c r="A22" s="21" t="s">
        <v>24</v>
      </c>
      <c r="B22" s="22" t="s">
        <v>73</v>
      </c>
      <c r="C22" s="21" t="s">
        <v>31</v>
      </c>
      <c r="D22" s="73"/>
    </row>
    <row r="23" spans="1:4" ht="18.75" customHeight="1">
      <c r="A23" s="21" t="s">
        <v>30</v>
      </c>
      <c r="B23" s="22" t="s">
        <v>45</v>
      </c>
      <c r="C23" s="21" t="s">
        <v>64</v>
      </c>
      <c r="D23" s="73"/>
    </row>
    <row r="24" spans="1:4" ht="18.75" customHeight="1">
      <c r="A24" s="21" t="s">
        <v>44</v>
      </c>
      <c r="B24" s="22" t="s">
        <v>142</v>
      </c>
      <c r="C24" s="21" t="s">
        <v>29</v>
      </c>
      <c r="D24" s="73">
        <v>1400060</v>
      </c>
    </row>
    <row r="25" spans="1:4" ht="18.75" customHeight="1">
      <c r="A25" s="24" t="s">
        <v>141</v>
      </c>
      <c r="B25" s="25" t="s">
        <v>130</v>
      </c>
      <c r="C25" s="24" t="s">
        <v>35</v>
      </c>
      <c r="D25" s="74"/>
    </row>
    <row r="26" spans="1:4" ht="18.75" customHeight="1">
      <c r="A26" s="125" t="s">
        <v>117</v>
      </c>
      <c r="B26" s="125"/>
      <c r="C26" s="17"/>
      <c r="D26" s="55">
        <f>D27+D28+D29+D30+D31+D32+D33+D34</f>
        <v>1400060</v>
      </c>
    </row>
    <row r="27" spans="1:4" ht="18.75" customHeight="1">
      <c r="A27" s="19" t="s">
        <v>11</v>
      </c>
      <c r="B27" s="20" t="s">
        <v>48</v>
      </c>
      <c r="C27" s="19" t="s">
        <v>33</v>
      </c>
      <c r="D27" s="72">
        <v>1272000</v>
      </c>
    </row>
    <row r="28" spans="1:4" ht="18.75" customHeight="1">
      <c r="A28" s="21" t="s">
        <v>12</v>
      </c>
      <c r="B28" s="22" t="s">
        <v>32</v>
      </c>
      <c r="C28" s="21" t="s">
        <v>33</v>
      </c>
      <c r="D28" s="73">
        <v>128060</v>
      </c>
    </row>
    <row r="29" spans="1:4" ht="38.25">
      <c r="A29" s="21" t="s">
        <v>13</v>
      </c>
      <c r="B29" s="23" t="s">
        <v>52</v>
      </c>
      <c r="C29" s="21" t="s">
        <v>53</v>
      </c>
      <c r="D29" s="73"/>
    </row>
    <row r="30" spans="1:6" ht="18.75" customHeight="1">
      <c r="A30" s="21" t="s">
        <v>1</v>
      </c>
      <c r="B30" s="22" t="s">
        <v>49</v>
      </c>
      <c r="C30" s="21" t="s">
        <v>42</v>
      </c>
      <c r="D30" s="73"/>
      <c r="F30" s="59"/>
    </row>
    <row r="31" spans="1:4" ht="18.75" customHeight="1">
      <c r="A31" s="21" t="s">
        <v>18</v>
      </c>
      <c r="B31" s="22" t="s">
        <v>50</v>
      </c>
      <c r="C31" s="21" t="s">
        <v>35</v>
      </c>
      <c r="D31" s="73"/>
    </row>
    <row r="32" spans="1:4" ht="18.75" customHeight="1">
      <c r="A32" s="21" t="s">
        <v>21</v>
      </c>
      <c r="B32" s="22" t="s">
        <v>23</v>
      </c>
      <c r="C32" s="21" t="s">
        <v>36</v>
      </c>
      <c r="D32" s="73"/>
    </row>
    <row r="33" spans="1:4" ht="18.75" customHeight="1">
      <c r="A33" s="21" t="s">
        <v>24</v>
      </c>
      <c r="B33" s="22" t="s">
        <v>51</v>
      </c>
      <c r="C33" s="21" t="s">
        <v>37</v>
      </c>
      <c r="D33" s="73"/>
    </row>
    <row r="34" spans="1:4" ht="18.75" customHeight="1">
      <c r="A34" s="24" t="s">
        <v>30</v>
      </c>
      <c r="B34" s="25" t="s">
        <v>38</v>
      </c>
      <c r="C34" s="24" t="s">
        <v>34</v>
      </c>
      <c r="D34" s="74"/>
    </row>
    <row r="35" spans="1:6" ht="12.75">
      <c r="A35" s="124" t="s">
        <v>140</v>
      </c>
      <c r="B35" s="124"/>
      <c r="C35" s="124"/>
      <c r="D35" s="124"/>
      <c r="E35" s="124"/>
      <c r="F35" s="124"/>
    </row>
    <row r="36" spans="1:6" ht="22.5" customHeight="1">
      <c r="A36" s="124"/>
      <c r="B36" s="124"/>
      <c r="C36" s="124"/>
      <c r="D36" s="124"/>
      <c r="E36" s="124"/>
      <c r="F36" s="124"/>
    </row>
    <row r="37" ht="12.75">
      <c r="C37" s="1" t="s">
        <v>264</v>
      </c>
    </row>
    <row r="38" ht="12.75">
      <c r="D38" s="1" t="s">
        <v>258</v>
      </c>
    </row>
    <row r="39" ht="12.75">
      <c r="D39" s="1" t="s">
        <v>259</v>
      </c>
    </row>
    <row r="40" ht="12.75">
      <c r="D40" s="1" t="s">
        <v>260</v>
      </c>
    </row>
  </sheetData>
  <mergeCells count="9">
    <mergeCell ref="C1:F2"/>
    <mergeCell ref="A35:F36"/>
    <mergeCell ref="A11:B11"/>
    <mergeCell ref="A26:B26"/>
    <mergeCell ref="A4:D4"/>
    <mergeCell ref="A7:A9"/>
    <mergeCell ref="C7:C9"/>
    <mergeCell ref="B7:B9"/>
    <mergeCell ref="D7:D9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defaultGridColor="0" colorId="8" workbookViewId="0" topLeftCell="A42">
      <selection activeCell="J64" sqref="J64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127" t="s">
        <v>265</v>
      </c>
      <c r="H1" s="127"/>
      <c r="I1" s="127"/>
      <c r="J1" s="127"/>
    </row>
    <row r="2" spans="7:10" ht="12.75">
      <c r="G2" s="127"/>
      <c r="H2" s="127"/>
      <c r="I2" s="127"/>
      <c r="J2" s="127"/>
    </row>
    <row r="3" spans="7:10" ht="12.75">
      <c r="G3" s="127"/>
      <c r="H3" s="127"/>
      <c r="I3" s="127"/>
      <c r="J3" s="127"/>
    </row>
    <row r="5" spans="1:10" ht="48.75" customHeight="1">
      <c r="A5" s="128" t="s">
        <v>55</v>
      </c>
      <c r="B5" s="128"/>
      <c r="C5" s="128"/>
      <c r="D5" s="128"/>
      <c r="E5" s="128"/>
      <c r="F5" s="128"/>
      <c r="G5" s="128"/>
      <c r="H5" s="128"/>
      <c r="I5" s="128"/>
      <c r="J5" s="128"/>
    </row>
    <row r="6" ht="12.75">
      <c r="J6" s="4" t="s">
        <v>40</v>
      </c>
    </row>
    <row r="7" spans="1:10" s="2" customFormat="1" ht="20.25" customHeight="1">
      <c r="A7" s="121" t="s">
        <v>2</v>
      </c>
      <c r="B7" s="129" t="s">
        <v>3</v>
      </c>
      <c r="C7" s="129" t="s">
        <v>4</v>
      </c>
      <c r="D7" s="120" t="s">
        <v>104</v>
      </c>
      <c r="E7" s="120" t="s">
        <v>103</v>
      </c>
      <c r="F7" s="120" t="s">
        <v>81</v>
      </c>
      <c r="G7" s="120"/>
      <c r="H7" s="120"/>
      <c r="I7" s="120"/>
      <c r="J7" s="120"/>
    </row>
    <row r="8" spans="1:10" s="2" customFormat="1" ht="20.25" customHeight="1">
      <c r="A8" s="121"/>
      <c r="B8" s="130"/>
      <c r="C8" s="130"/>
      <c r="D8" s="121"/>
      <c r="E8" s="120"/>
      <c r="F8" s="120" t="s">
        <v>101</v>
      </c>
      <c r="G8" s="120" t="s">
        <v>6</v>
      </c>
      <c r="H8" s="120"/>
      <c r="I8" s="120"/>
      <c r="J8" s="120" t="s">
        <v>102</v>
      </c>
    </row>
    <row r="9" spans="1:10" s="2" customFormat="1" ht="65.25" customHeight="1">
      <c r="A9" s="121"/>
      <c r="B9" s="131"/>
      <c r="C9" s="131"/>
      <c r="D9" s="121"/>
      <c r="E9" s="120"/>
      <c r="F9" s="120"/>
      <c r="G9" s="11" t="s">
        <v>98</v>
      </c>
      <c r="H9" s="11" t="s">
        <v>99</v>
      </c>
      <c r="I9" s="11" t="s">
        <v>100</v>
      </c>
      <c r="J9" s="120"/>
    </row>
    <row r="10" spans="1:10" ht="12" customHeight="1">
      <c r="A10" s="62">
        <v>1</v>
      </c>
      <c r="B10" s="62">
        <v>2</v>
      </c>
      <c r="C10" s="62">
        <v>3</v>
      </c>
      <c r="D10" s="62">
        <v>4</v>
      </c>
      <c r="E10" s="62">
        <v>5</v>
      </c>
      <c r="F10" s="62">
        <v>6</v>
      </c>
      <c r="G10" s="62">
        <v>7</v>
      </c>
      <c r="H10" s="62">
        <v>8</v>
      </c>
      <c r="I10" s="62">
        <v>9</v>
      </c>
      <c r="J10" s="62">
        <v>10</v>
      </c>
    </row>
    <row r="11" spans="1:10" ht="18" customHeight="1">
      <c r="A11" s="89" t="s">
        <v>144</v>
      </c>
      <c r="B11" s="89" t="s">
        <v>159</v>
      </c>
      <c r="C11" s="90">
        <v>2010</v>
      </c>
      <c r="D11" s="91">
        <f>83905+73920</f>
        <v>157825</v>
      </c>
      <c r="E11" s="91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0" ht="18" customHeight="1">
      <c r="A12" s="89" t="s">
        <v>144</v>
      </c>
      <c r="B12" s="89" t="s">
        <v>159</v>
      </c>
      <c r="C12" s="90">
        <v>4300</v>
      </c>
      <c r="D12" s="91">
        <v>0</v>
      </c>
      <c r="E12" s="91">
        <f>1524+1450</f>
        <v>2974</v>
      </c>
      <c r="F12" s="91">
        <f>E12</f>
        <v>2974</v>
      </c>
      <c r="G12" s="92">
        <v>0</v>
      </c>
      <c r="H12" s="92">
        <v>0</v>
      </c>
      <c r="I12" s="92">
        <v>0</v>
      </c>
      <c r="J12" s="92">
        <v>0</v>
      </c>
    </row>
    <row r="13" spans="1:10" ht="18" customHeight="1">
      <c r="A13" s="89" t="s">
        <v>144</v>
      </c>
      <c r="B13" s="89" t="s">
        <v>159</v>
      </c>
      <c r="C13" s="90">
        <v>4430</v>
      </c>
      <c r="D13" s="91">
        <v>0</v>
      </c>
      <c r="E13" s="91">
        <f>83905-1524+72470</f>
        <v>154851</v>
      </c>
      <c r="F13" s="91">
        <f>E13</f>
        <v>154851</v>
      </c>
      <c r="G13" s="90">
        <v>0</v>
      </c>
      <c r="H13" s="90">
        <v>0</v>
      </c>
      <c r="I13" s="90">
        <v>0</v>
      </c>
      <c r="J13" s="90">
        <v>0</v>
      </c>
    </row>
    <row r="14" spans="1:10" s="34" customFormat="1" ht="18.75" customHeight="1">
      <c r="A14" s="134" t="s">
        <v>149</v>
      </c>
      <c r="B14" s="135"/>
      <c r="C14" s="136"/>
      <c r="D14" s="93">
        <f>D13+D11</f>
        <v>157825</v>
      </c>
      <c r="E14" s="93">
        <f>E13+E11+E12</f>
        <v>157825</v>
      </c>
      <c r="F14" s="93">
        <f>F13+F11+F12</f>
        <v>157825</v>
      </c>
      <c r="G14" s="93">
        <f>G13+G11</f>
        <v>0</v>
      </c>
      <c r="H14" s="93">
        <f>H13+H11</f>
        <v>0</v>
      </c>
      <c r="I14" s="93">
        <f>I13+I11</f>
        <v>0</v>
      </c>
      <c r="J14" s="93">
        <f>J13+J11</f>
        <v>0</v>
      </c>
    </row>
    <row r="15" spans="1:10" ht="19.5" customHeight="1">
      <c r="A15" s="67">
        <v>750</v>
      </c>
      <c r="B15" s="67">
        <v>75011</v>
      </c>
      <c r="C15" s="67">
        <v>2010</v>
      </c>
      <c r="D15" s="68">
        <f>116740+5054</f>
        <v>121794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</row>
    <row r="16" spans="1:10" ht="19.5" customHeight="1">
      <c r="A16" s="67">
        <v>750</v>
      </c>
      <c r="B16" s="67">
        <v>75011</v>
      </c>
      <c r="C16" s="67">
        <v>4010</v>
      </c>
      <c r="D16" s="68">
        <v>0</v>
      </c>
      <c r="E16" s="68">
        <f>F16</f>
        <v>100066</v>
      </c>
      <c r="F16" s="68">
        <f>G16</f>
        <v>100066</v>
      </c>
      <c r="G16" s="68">
        <f>97576+2490</f>
        <v>100066</v>
      </c>
      <c r="H16" s="68">
        <v>0</v>
      </c>
      <c r="I16" s="68">
        <v>0</v>
      </c>
      <c r="J16" s="68">
        <v>0</v>
      </c>
    </row>
    <row r="17" spans="1:10" ht="19.5" customHeight="1">
      <c r="A17" s="67">
        <v>750</v>
      </c>
      <c r="B17" s="67">
        <v>75011</v>
      </c>
      <c r="C17" s="67">
        <v>4110</v>
      </c>
      <c r="D17" s="68">
        <v>0</v>
      </c>
      <c r="E17" s="68">
        <f>F17</f>
        <v>17203</v>
      </c>
      <c r="F17" s="68">
        <f>H17</f>
        <v>17203</v>
      </c>
      <c r="G17" s="68">
        <v>0</v>
      </c>
      <c r="H17" s="68">
        <f>16773+430</f>
        <v>17203</v>
      </c>
      <c r="I17" s="68">
        <v>0</v>
      </c>
      <c r="J17" s="68">
        <v>0</v>
      </c>
    </row>
    <row r="18" spans="1:10" ht="19.5" customHeight="1">
      <c r="A18" s="67">
        <v>750</v>
      </c>
      <c r="B18" s="67">
        <v>75011</v>
      </c>
      <c r="C18" s="67">
        <v>4120</v>
      </c>
      <c r="D18" s="68">
        <v>0</v>
      </c>
      <c r="E18" s="68">
        <f>F18</f>
        <v>2456</v>
      </c>
      <c r="F18" s="68">
        <f>H18</f>
        <v>2456</v>
      </c>
      <c r="G18" s="68">
        <v>0</v>
      </c>
      <c r="H18" s="68">
        <f>2391+65</f>
        <v>2456</v>
      </c>
      <c r="I18" s="68">
        <v>0</v>
      </c>
      <c r="J18" s="68">
        <v>0</v>
      </c>
    </row>
    <row r="19" spans="1:10" ht="19.5" customHeight="1">
      <c r="A19" s="67">
        <v>750</v>
      </c>
      <c r="B19" s="67">
        <v>75011</v>
      </c>
      <c r="C19" s="67">
        <v>4210</v>
      </c>
      <c r="D19" s="68">
        <v>0</v>
      </c>
      <c r="E19" s="68">
        <f>5054-2985</f>
        <v>2069</v>
      </c>
      <c r="F19" s="68">
        <f>E19</f>
        <v>2069</v>
      </c>
      <c r="G19" s="68">
        <v>0</v>
      </c>
      <c r="H19" s="68">
        <v>0</v>
      </c>
      <c r="I19" s="68">
        <v>0</v>
      </c>
      <c r="J19" s="68">
        <v>0</v>
      </c>
    </row>
    <row r="20" spans="1:10" s="34" customFormat="1" ht="19.5" customHeight="1">
      <c r="A20" s="133" t="s">
        <v>156</v>
      </c>
      <c r="B20" s="133"/>
      <c r="C20" s="133"/>
      <c r="D20" s="69">
        <f>D15+D16+D17+D18</f>
        <v>121794</v>
      </c>
      <c r="E20" s="69">
        <f aca="true" t="shared" si="0" ref="E20:J20">E15+E16+E17+E18+E19</f>
        <v>121794</v>
      </c>
      <c r="F20" s="69">
        <f t="shared" si="0"/>
        <v>121794</v>
      </c>
      <c r="G20" s="69">
        <f t="shared" si="0"/>
        <v>100066</v>
      </c>
      <c r="H20" s="69">
        <f t="shared" si="0"/>
        <v>19659</v>
      </c>
      <c r="I20" s="69">
        <f t="shared" si="0"/>
        <v>0</v>
      </c>
      <c r="J20" s="69">
        <f t="shared" si="0"/>
        <v>0</v>
      </c>
    </row>
    <row r="21" spans="1:10" ht="19.5" customHeight="1">
      <c r="A21" s="67">
        <v>751</v>
      </c>
      <c r="B21" s="67">
        <v>75101</v>
      </c>
      <c r="C21" s="67">
        <v>2010</v>
      </c>
      <c r="D21" s="68">
        <v>3677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</row>
    <row r="22" spans="1:10" ht="19.5" customHeight="1">
      <c r="A22" s="67">
        <v>751</v>
      </c>
      <c r="B22" s="67">
        <v>75101</v>
      </c>
      <c r="C22" s="67">
        <v>4010</v>
      </c>
      <c r="D22" s="68">
        <v>0</v>
      </c>
      <c r="E22" s="68">
        <f>F22</f>
        <v>3075</v>
      </c>
      <c r="F22" s="68">
        <f>G22</f>
        <v>3075</v>
      </c>
      <c r="G22" s="68">
        <f>3074+1</f>
        <v>3075</v>
      </c>
      <c r="H22" s="68">
        <v>0</v>
      </c>
      <c r="I22" s="68">
        <v>0</v>
      </c>
      <c r="J22" s="68">
        <v>0</v>
      </c>
    </row>
    <row r="23" spans="1:10" ht="19.5" customHeight="1">
      <c r="A23" s="67">
        <v>751</v>
      </c>
      <c r="B23" s="67">
        <v>75101</v>
      </c>
      <c r="C23" s="67">
        <v>4110</v>
      </c>
      <c r="D23" s="68">
        <v>0</v>
      </c>
      <c r="E23" s="68">
        <f>F23</f>
        <v>526</v>
      </c>
      <c r="F23" s="68">
        <f>H23</f>
        <v>526</v>
      </c>
      <c r="G23" s="68">
        <v>0</v>
      </c>
      <c r="H23" s="68">
        <f>528-2</f>
        <v>526</v>
      </c>
      <c r="I23" s="68">
        <v>0</v>
      </c>
      <c r="J23" s="68">
        <v>0</v>
      </c>
    </row>
    <row r="24" spans="1:10" ht="19.5" customHeight="1">
      <c r="A24" s="67">
        <v>751</v>
      </c>
      <c r="B24" s="67">
        <v>75101</v>
      </c>
      <c r="C24" s="67">
        <v>4120</v>
      </c>
      <c r="D24" s="68">
        <v>0</v>
      </c>
      <c r="E24" s="68">
        <f>F24</f>
        <v>76</v>
      </c>
      <c r="F24" s="68">
        <f>H24</f>
        <v>76</v>
      </c>
      <c r="G24" s="68">
        <v>0</v>
      </c>
      <c r="H24" s="68">
        <f>75+1</f>
        <v>76</v>
      </c>
      <c r="I24" s="68">
        <v>0</v>
      </c>
      <c r="J24" s="68">
        <v>0</v>
      </c>
    </row>
    <row r="25" spans="1:10" ht="19.5" customHeight="1">
      <c r="A25" s="67">
        <v>751</v>
      </c>
      <c r="B25" s="67">
        <v>75108</v>
      </c>
      <c r="C25" s="67">
        <v>2010</v>
      </c>
      <c r="D25" s="68">
        <v>40782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</row>
    <row r="26" spans="1:10" ht="19.5" customHeight="1">
      <c r="A26" s="67">
        <v>751</v>
      </c>
      <c r="B26" s="67">
        <v>75108</v>
      </c>
      <c r="C26" s="67">
        <v>3030</v>
      </c>
      <c r="D26" s="68">
        <v>0</v>
      </c>
      <c r="E26" s="68">
        <v>21285</v>
      </c>
      <c r="F26" s="68">
        <f>E26</f>
        <v>21285</v>
      </c>
      <c r="G26" s="68">
        <v>0</v>
      </c>
      <c r="H26" s="68">
        <v>0</v>
      </c>
      <c r="I26" s="68">
        <v>0</v>
      </c>
      <c r="J26" s="68">
        <v>0</v>
      </c>
    </row>
    <row r="27" spans="1:10" ht="19.5" customHeight="1">
      <c r="A27" s="67">
        <v>751</v>
      </c>
      <c r="B27" s="67">
        <v>75108</v>
      </c>
      <c r="C27" s="67">
        <v>4110</v>
      </c>
      <c r="D27" s="68">
        <v>0</v>
      </c>
      <c r="E27" s="68">
        <f>1995-500</f>
        <v>1495</v>
      </c>
      <c r="F27" s="68">
        <f aca="true" t="shared" si="1" ref="F27:F32">E27</f>
        <v>1495</v>
      </c>
      <c r="G27" s="68">
        <v>0</v>
      </c>
      <c r="H27" s="68">
        <f>F27</f>
        <v>1495</v>
      </c>
      <c r="I27" s="68">
        <v>0</v>
      </c>
      <c r="J27" s="68">
        <v>0</v>
      </c>
    </row>
    <row r="28" spans="1:10" ht="19.5" customHeight="1">
      <c r="A28" s="67">
        <v>751</v>
      </c>
      <c r="B28" s="67">
        <v>75108</v>
      </c>
      <c r="C28" s="67">
        <v>4120</v>
      </c>
      <c r="D28" s="68">
        <v>0</v>
      </c>
      <c r="E28" s="68">
        <v>252</v>
      </c>
      <c r="F28" s="68">
        <f t="shared" si="1"/>
        <v>252</v>
      </c>
      <c r="G28" s="68">
        <v>0</v>
      </c>
      <c r="H28" s="68">
        <f>F28</f>
        <v>252</v>
      </c>
      <c r="I28" s="68">
        <v>0</v>
      </c>
      <c r="J28" s="68">
        <v>0</v>
      </c>
    </row>
    <row r="29" spans="1:10" ht="19.5" customHeight="1">
      <c r="A29" s="67">
        <v>751</v>
      </c>
      <c r="B29" s="67">
        <v>75108</v>
      </c>
      <c r="C29" s="67">
        <v>4170</v>
      </c>
      <c r="D29" s="68">
        <v>0</v>
      </c>
      <c r="E29" s="68">
        <f>7979+500</f>
        <v>8479</v>
      </c>
      <c r="F29" s="68">
        <f t="shared" si="1"/>
        <v>8479</v>
      </c>
      <c r="G29" s="68">
        <f>F29</f>
        <v>8479</v>
      </c>
      <c r="H29" s="68">
        <v>0</v>
      </c>
      <c r="I29" s="68">
        <v>0</v>
      </c>
      <c r="J29" s="68">
        <v>0</v>
      </c>
    </row>
    <row r="30" spans="1:10" ht="19.5" customHeight="1">
      <c r="A30" s="67">
        <v>751</v>
      </c>
      <c r="B30" s="67">
        <v>75108</v>
      </c>
      <c r="C30" s="67">
        <v>4210</v>
      </c>
      <c r="D30" s="68">
        <v>0</v>
      </c>
      <c r="E30" s="68">
        <f>2000+2000+500</f>
        <v>4500</v>
      </c>
      <c r="F30" s="68">
        <f t="shared" si="1"/>
        <v>4500</v>
      </c>
      <c r="G30" s="68">
        <v>0</v>
      </c>
      <c r="H30" s="68">
        <v>0</v>
      </c>
      <c r="I30" s="68">
        <v>0</v>
      </c>
      <c r="J30" s="68">
        <v>0</v>
      </c>
    </row>
    <row r="31" spans="1:10" ht="19.5" customHeight="1">
      <c r="A31" s="67">
        <v>751</v>
      </c>
      <c r="B31" s="67">
        <v>75108</v>
      </c>
      <c r="C31" s="67">
        <v>4300</v>
      </c>
      <c r="D31" s="68">
        <v>0</v>
      </c>
      <c r="E31" s="68">
        <f>6271-2000-500</f>
        <v>3771</v>
      </c>
      <c r="F31" s="68">
        <f t="shared" si="1"/>
        <v>3771</v>
      </c>
      <c r="G31" s="68">
        <v>0</v>
      </c>
      <c r="H31" s="68">
        <v>0</v>
      </c>
      <c r="I31" s="68">
        <v>0</v>
      </c>
      <c r="J31" s="68">
        <v>0</v>
      </c>
    </row>
    <row r="32" spans="1:10" ht="19.5" customHeight="1">
      <c r="A32" s="67">
        <v>751</v>
      </c>
      <c r="B32" s="67">
        <v>75108</v>
      </c>
      <c r="C32" s="67">
        <v>4410</v>
      </c>
      <c r="D32" s="68">
        <v>0</v>
      </c>
      <c r="E32" s="68">
        <v>1000</v>
      </c>
      <c r="F32" s="68">
        <f t="shared" si="1"/>
        <v>1000</v>
      </c>
      <c r="G32" s="68">
        <v>0</v>
      </c>
      <c r="H32" s="68">
        <v>0</v>
      </c>
      <c r="I32" s="68">
        <v>0</v>
      </c>
      <c r="J32" s="68">
        <v>0</v>
      </c>
    </row>
    <row r="33" spans="1:10" s="34" customFormat="1" ht="19.5" customHeight="1">
      <c r="A33" s="133" t="s">
        <v>167</v>
      </c>
      <c r="B33" s="133"/>
      <c r="C33" s="133"/>
      <c r="D33" s="69">
        <f aca="true" t="shared" si="2" ref="D33:J33">D21+D22+D23+D24+D25+D26+D27+D28+D29+D30+D31+D32</f>
        <v>44459</v>
      </c>
      <c r="E33" s="69">
        <f t="shared" si="2"/>
        <v>44459</v>
      </c>
      <c r="F33" s="69">
        <f t="shared" si="2"/>
        <v>44459</v>
      </c>
      <c r="G33" s="69">
        <f t="shared" si="2"/>
        <v>11554</v>
      </c>
      <c r="H33" s="69">
        <f t="shared" si="2"/>
        <v>2349</v>
      </c>
      <c r="I33" s="69">
        <f t="shared" si="2"/>
        <v>0</v>
      </c>
      <c r="J33" s="69">
        <f t="shared" si="2"/>
        <v>0</v>
      </c>
    </row>
    <row r="34" spans="1:10" ht="19.5" customHeight="1">
      <c r="A34" s="67">
        <v>852</v>
      </c>
      <c r="B34" s="67">
        <v>85212</v>
      </c>
      <c r="C34" s="67">
        <v>2010</v>
      </c>
      <c r="D34" s="68">
        <f>8498529-1070000+65000</f>
        <v>7493529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</row>
    <row r="35" spans="1:10" ht="19.5" customHeight="1">
      <c r="A35" s="67">
        <v>852</v>
      </c>
      <c r="B35" s="67">
        <v>85212</v>
      </c>
      <c r="C35" s="67">
        <v>3110</v>
      </c>
      <c r="D35" s="68">
        <v>0</v>
      </c>
      <c r="E35" s="68">
        <f>8195930-1027046+63107+765</f>
        <v>7232756</v>
      </c>
      <c r="F35" s="68">
        <f>E35</f>
        <v>7232756</v>
      </c>
      <c r="G35" s="68">
        <v>0</v>
      </c>
      <c r="H35" s="68">
        <v>0</v>
      </c>
      <c r="I35" s="68">
        <v>0</v>
      </c>
      <c r="J35" s="68">
        <v>0</v>
      </c>
    </row>
    <row r="36" spans="1:10" ht="19.5" customHeight="1">
      <c r="A36" s="67">
        <v>852</v>
      </c>
      <c r="B36" s="67">
        <v>85212</v>
      </c>
      <c r="C36" s="67">
        <v>4010</v>
      </c>
      <c r="D36" s="68">
        <v>0</v>
      </c>
      <c r="E36" s="68">
        <f>155909-25995+1578</f>
        <v>131492</v>
      </c>
      <c r="F36" s="68">
        <f>E36</f>
        <v>131492</v>
      </c>
      <c r="G36" s="68">
        <f>F36</f>
        <v>131492</v>
      </c>
      <c r="H36" s="68">
        <v>0</v>
      </c>
      <c r="I36" s="68">
        <v>0</v>
      </c>
      <c r="J36" s="68">
        <v>0</v>
      </c>
    </row>
    <row r="37" spans="1:10" ht="19.5" customHeight="1">
      <c r="A37" s="67">
        <v>852</v>
      </c>
      <c r="B37" s="67">
        <v>85212</v>
      </c>
      <c r="C37" s="67">
        <v>4040</v>
      </c>
      <c r="D37" s="68">
        <v>0</v>
      </c>
      <c r="E37" s="68">
        <f>3597</f>
        <v>3597</v>
      </c>
      <c r="F37" s="68">
        <f aca="true" t="shared" si="3" ref="F37:F45">E37</f>
        <v>3597</v>
      </c>
      <c r="G37" s="68">
        <f>F37</f>
        <v>3597</v>
      </c>
      <c r="H37" s="68">
        <v>0</v>
      </c>
      <c r="I37" s="68">
        <v>0</v>
      </c>
      <c r="J37" s="68">
        <v>0</v>
      </c>
    </row>
    <row r="38" spans="1:10" ht="19.5" customHeight="1">
      <c r="A38" s="67">
        <v>852</v>
      </c>
      <c r="B38" s="67">
        <v>85212</v>
      </c>
      <c r="C38" s="67">
        <v>4110</v>
      </c>
      <c r="D38" s="68">
        <v>0</v>
      </c>
      <c r="E38" s="68">
        <f>82419-16626+276-765</f>
        <v>65304</v>
      </c>
      <c r="F38" s="68">
        <f>E38</f>
        <v>65304</v>
      </c>
      <c r="G38" s="68">
        <v>0</v>
      </c>
      <c r="H38" s="68">
        <f>F38</f>
        <v>65304</v>
      </c>
      <c r="I38" s="68">
        <v>0</v>
      </c>
      <c r="J38" s="68">
        <v>0</v>
      </c>
    </row>
    <row r="39" spans="1:10" ht="19.5" customHeight="1">
      <c r="A39" s="67">
        <v>852</v>
      </c>
      <c r="B39" s="67">
        <v>85212</v>
      </c>
      <c r="C39" s="67">
        <v>4120</v>
      </c>
      <c r="D39" s="68">
        <v>0</v>
      </c>
      <c r="E39" s="68">
        <f>3842-731+39</f>
        <v>3150</v>
      </c>
      <c r="F39" s="68">
        <f>E39</f>
        <v>3150</v>
      </c>
      <c r="G39" s="68">
        <v>0</v>
      </c>
      <c r="H39" s="68">
        <f>F39</f>
        <v>3150</v>
      </c>
      <c r="I39" s="68">
        <v>0</v>
      </c>
      <c r="J39" s="68">
        <v>0</v>
      </c>
    </row>
    <row r="40" spans="1:10" ht="19.5" customHeight="1">
      <c r="A40" s="67">
        <v>852</v>
      </c>
      <c r="B40" s="67">
        <v>85212</v>
      </c>
      <c r="C40" s="67">
        <v>4170</v>
      </c>
      <c r="D40" s="68">
        <v>0</v>
      </c>
      <c r="E40" s="68">
        <v>3420</v>
      </c>
      <c r="F40" s="68">
        <f t="shared" si="3"/>
        <v>3420</v>
      </c>
      <c r="G40" s="68">
        <f>F40</f>
        <v>3420</v>
      </c>
      <c r="H40" s="68">
        <v>0</v>
      </c>
      <c r="I40" s="68">
        <v>0</v>
      </c>
      <c r="J40" s="68">
        <v>0</v>
      </c>
    </row>
    <row r="41" spans="1:10" ht="19.5" customHeight="1">
      <c r="A41" s="67">
        <v>852</v>
      </c>
      <c r="B41" s="67">
        <v>85212</v>
      </c>
      <c r="C41" s="67">
        <v>4210</v>
      </c>
      <c r="D41" s="68">
        <v>0</v>
      </c>
      <c r="E41" s="68">
        <v>14512</v>
      </c>
      <c r="F41" s="68">
        <f t="shared" si="3"/>
        <v>14512</v>
      </c>
      <c r="G41" s="68">
        <v>0</v>
      </c>
      <c r="H41" s="68">
        <v>0</v>
      </c>
      <c r="I41" s="68">
        <v>0</v>
      </c>
      <c r="J41" s="68">
        <v>0</v>
      </c>
    </row>
    <row r="42" spans="1:10" ht="19.5" customHeight="1">
      <c r="A42" s="67">
        <v>852</v>
      </c>
      <c r="B42" s="67">
        <v>85212</v>
      </c>
      <c r="C42" s="67">
        <v>4300</v>
      </c>
      <c r="D42" s="68">
        <v>0</v>
      </c>
      <c r="E42" s="68">
        <v>28940</v>
      </c>
      <c r="F42" s="68">
        <f t="shared" si="3"/>
        <v>28940</v>
      </c>
      <c r="G42" s="68">
        <v>0</v>
      </c>
      <c r="H42" s="68">
        <v>0</v>
      </c>
      <c r="I42" s="68">
        <v>0</v>
      </c>
      <c r="J42" s="68">
        <v>0</v>
      </c>
    </row>
    <row r="43" spans="1:10" ht="19.5" customHeight="1">
      <c r="A43" s="67">
        <v>852</v>
      </c>
      <c r="B43" s="67">
        <v>85212</v>
      </c>
      <c r="C43" s="67">
        <v>4370</v>
      </c>
      <c r="D43" s="68">
        <v>0</v>
      </c>
      <c r="E43" s="68">
        <v>6560</v>
      </c>
      <c r="F43" s="68">
        <f t="shared" si="3"/>
        <v>6560</v>
      </c>
      <c r="G43" s="68">
        <v>0</v>
      </c>
      <c r="H43" s="68">
        <v>0</v>
      </c>
      <c r="I43" s="68">
        <v>0</v>
      </c>
      <c r="J43" s="68">
        <v>0</v>
      </c>
    </row>
    <row r="44" spans="1:10" ht="19.5" customHeight="1">
      <c r="A44" s="67">
        <v>852</v>
      </c>
      <c r="B44" s="67">
        <v>85212</v>
      </c>
      <c r="C44" s="67">
        <v>4440</v>
      </c>
      <c r="D44" s="68">
        <v>0</v>
      </c>
      <c r="E44" s="68">
        <f>2414-402</f>
        <v>2012</v>
      </c>
      <c r="F44" s="68">
        <f t="shared" si="3"/>
        <v>2012</v>
      </c>
      <c r="G44" s="68">
        <v>0</v>
      </c>
      <c r="H44" s="68">
        <v>0</v>
      </c>
      <c r="I44" s="68">
        <v>0</v>
      </c>
      <c r="J44" s="68">
        <v>0</v>
      </c>
    </row>
    <row r="45" spans="1:10" ht="19.5" customHeight="1">
      <c r="A45" s="67">
        <v>852</v>
      </c>
      <c r="B45" s="67">
        <v>85212</v>
      </c>
      <c r="C45" s="67">
        <v>4740</v>
      </c>
      <c r="D45" s="68">
        <v>0</v>
      </c>
      <c r="E45" s="68">
        <f>986+800</f>
        <v>1786</v>
      </c>
      <c r="F45" s="68">
        <f t="shared" si="3"/>
        <v>1786</v>
      </c>
      <c r="G45" s="68">
        <v>0</v>
      </c>
      <c r="H45" s="68">
        <v>0</v>
      </c>
      <c r="I45" s="68">
        <v>0</v>
      </c>
      <c r="J45" s="68">
        <v>0</v>
      </c>
    </row>
    <row r="46" spans="1:10" ht="19.5" customHeight="1">
      <c r="A46" s="67">
        <v>852</v>
      </c>
      <c r="B46" s="67">
        <v>85213</v>
      </c>
      <c r="C46" s="67">
        <v>2010</v>
      </c>
      <c r="D46" s="68">
        <f>77744-44951</f>
        <v>32793</v>
      </c>
      <c r="E46" s="68">
        <v>0</v>
      </c>
      <c r="F46" s="68">
        <v>0</v>
      </c>
      <c r="G46" s="68">
        <v>0</v>
      </c>
      <c r="H46" s="68">
        <v>0</v>
      </c>
      <c r="I46" s="68">
        <v>0</v>
      </c>
      <c r="J46" s="68">
        <v>0</v>
      </c>
    </row>
    <row r="47" spans="1:10" ht="19.5" customHeight="1">
      <c r="A47" s="67">
        <v>852</v>
      </c>
      <c r="B47" s="67">
        <v>85213</v>
      </c>
      <c r="C47" s="70">
        <v>4130</v>
      </c>
      <c r="D47" s="68">
        <v>0</v>
      </c>
      <c r="E47" s="68">
        <f>77744-44951</f>
        <v>32793</v>
      </c>
      <c r="F47" s="68">
        <f>E47</f>
        <v>32793</v>
      </c>
      <c r="G47" s="68">
        <v>0</v>
      </c>
      <c r="H47" s="68">
        <f>F47</f>
        <v>32793</v>
      </c>
      <c r="I47" s="68">
        <v>0</v>
      </c>
      <c r="J47" s="68">
        <v>0</v>
      </c>
    </row>
    <row r="48" spans="1:10" ht="19.5" customHeight="1">
      <c r="A48" s="67">
        <v>852</v>
      </c>
      <c r="B48" s="67">
        <v>85214</v>
      </c>
      <c r="C48" s="67">
        <v>2010</v>
      </c>
      <c r="D48" s="68">
        <f>301932-3475</f>
        <v>298457</v>
      </c>
      <c r="E48" s="68">
        <v>0</v>
      </c>
      <c r="F48" s="68">
        <v>0</v>
      </c>
      <c r="G48" s="68">
        <v>0</v>
      </c>
      <c r="H48" s="68">
        <v>0</v>
      </c>
      <c r="I48" s="68">
        <v>0</v>
      </c>
      <c r="J48" s="68">
        <v>0</v>
      </c>
    </row>
    <row r="49" spans="1:10" ht="19.5" customHeight="1">
      <c r="A49" s="67">
        <v>852</v>
      </c>
      <c r="B49" s="67">
        <v>85214</v>
      </c>
      <c r="C49" s="67">
        <v>3110</v>
      </c>
      <c r="D49" s="68">
        <v>0</v>
      </c>
      <c r="E49" s="68">
        <f>301932-3475</f>
        <v>298457</v>
      </c>
      <c r="F49" s="68">
        <f>E49</f>
        <v>298457</v>
      </c>
      <c r="G49" s="68">
        <v>0</v>
      </c>
      <c r="H49" s="68">
        <v>0</v>
      </c>
      <c r="I49" s="68">
        <v>0</v>
      </c>
      <c r="J49" s="68">
        <v>0</v>
      </c>
    </row>
    <row r="50" spans="1:10" ht="19.5" customHeight="1">
      <c r="A50" s="67">
        <v>852</v>
      </c>
      <c r="B50" s="67">
        <v>85228</v>
      </c>
      <c r="C50" s="67">
        <v>2010</v>
      </c>
      <c r="D50" s="68">
        <v>23086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</row>
    <row r="51" spans="1:10" ht="19.5" customHeight="1">
      <c r="A51" s="67">
        <v>852</v>
      </c>
      <c r="B51" s="67">
        <v>85228</v>
      </c>
      <c r="C51" s="67">
        <v>3020</v>
      </c>
      <c r="D51" s="68">
        <v>0</v>
      </c>
      <c r="E51" s="68">
        <v>146</v>
      </c>
      <c r="F51" s="68">
        <v>146</v>
      </c>
      <c r="G51" s="68">
        <v>0</v>
      </c>
      <c r="H51" s="68">
        <v>0</v>
      </c>
      <c r="I51" s="68">
        <v>0</v>
      </c>
      <c r="J51" s="68">
        <v>0</v>
      </c>
    </row>
    <row r="52" spans="1:10" ht="19.5" customHeight="1">
      <c r="A52" s="67">
        <v>852</v>
      </c>
      <c r="B52" s="67">
        <v>85228</v>
      </c>
      <c r="C52" s="67">
        <v>4010</v>
      </c>
      <c r="D52" s="68">
        <v>0</v>
      </c>
      <c r="E52" s="68">
        <f>14832+692</f>
        <v>15524</v>
      </c>
      <c r="F52" s="68">
        <f>E52</f>
        <v>15524</v>
      </c>
      <c r="G52" s="68">
        <f>F52</f>
        <v>15524</v>
      </c>
      <c r="H52" s="68">
        <v>0</v>
      </c>
      <c r="I52" s="68">
        <v>0</v>
      </c>
      <c r="J52" s="68">
        <v>0</v>
      </c>
    </row>
    <row r="53" spans="1:10" ht="19.5" customHeight="1">
      <c r="A53" s="67">
        <v>852</v>
      </c>
      <c r="B53" s="67">
        <v>85228</v>
      </c>
      <c r="C53" s="67">
        <v>4110</v>
      </c>
      <c r="D53" s="68">
        <v>0</v>
      </c>
      <c r="E53" s="68">
        <f>3220+11</f>
        <v>3231</v>
      </c>
      <c r="F53" s="68">
        <f>E53</f>
        <v>3231</v>
      </c>
      <c r="G53" s="68">
        <v>0</v>
      </c>
      <c r="H53" s="68">
        <f>F53</f>
        <v>3231</v>
      </c>
      <c r="I53" s="68">
        <v>0</v>
      </c>
      <c r="J53" s="68">
        <v>0</v>
      </c>
    </row>
    <row r="54" spans="1:10" ht="19.5" customHeight="1">
      <c r="A54" s="67">
        <v>852</v>
      </c>
      <c r="B54" s="67">
        <v>85228</v>
      </c>
      <c r="C54" s="67">
        <v>4120</v>
      </c>
      <c r="D54" s="68">
        <v>0</v>
      </c>
      <c r="E54" s="68">
        <f>453-73</f>
        <v>380</v>
      </c>
      <c r="F54" s="68">
        <f>E54</f>
        <v>380</v>
      </c>
      <c r="G54" s="68">
        <v>0</v>
      </c>
      <c r="H54" s="68">
        <f>F54</f>
        <v>380</v>
      </c>
      <c r="I54" s="68">
        <v>0</v>
      </c>
      <c r="J54" s="68">
        <v>0</v>
      </c>
    </row>
    <row r="55" spans="1:10" ht="19.5" customHeight="1">
      <c r="A55" s="67">
        <v>852</v>
      </c>
      <c r="B55" s="67">
        <v>85228</v>
      </c>
      <c r="C55" s="67">
        <v>4170</v>
      </c>
      <c r="D55" s="68">
        <v>0</v>
      </c>
      <c r="E55" s="68">
        <f>3630-630</f>
        <v>3000</v>
      </c>
      <c r="F55" s="68">
        <f>E55</f>
        <v>3000</v>
      </c>
      <c r="G55" s="68">
        <f>F55</f>
        <v>3000</v>
      </c>
      <c r="H55" s="68">
        <v>0</v>
      </c>
      <c r="I55" s="68">
        <v>0</v>
      </c>
      <c r="J55" s="68">
        <v>0</v>
      </c>
    </row>
    <row r="56" spans="1:10" ht="19.5" customHeight="1">
      <c r="A56" s="67">
        <v>852</v>
      </c>
      <c r="B56" s="67">
        <v>85228</v>
      </c>
      <c r="C56" s="67">
        <v>4440</v>
      </c>
      <c r="D56" s="68">
        <v>0</v>
      </c>
      <c r="E56" s="68">
        <v>805</v>
      </c>
      <c r="F56" s="68">
        <v>805</v>
      </c>
      <c r="G56" s="68">
        <v>0</v>
      </c>
      <c r="H56" s="68">
        <v>0</v>
      </c>
      <c r="I56" s="68">
        <v>0</v>
      </c>
      <c r="J56" s="68">
        <v>0</v>
      </c>
    </row>
    <row r="57" spans="1:10" ht="19.5" customHeight="1">
      <c r="A57" s="67">
        <v>852</v>
      </c>
      <c r="B57" s="67">
        <v>85278</v>
      </c>
      <c r="C57" s="67">
        <v>2010</v>
      </c>
      <c r="D57" s="68">
        <f>1676+68000</f>
        <v>69676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</row>
    <row r="58" spans="1:10" ht="19.5" customHeight="1">
      <c r="A58" s="67">
        <v>852</v>
      </c>
      <c r="B58" s="67">
        <v>85278</v>
      </c>
      <c r="C58" s="67">
        <v>3110</v>
      </c>
      <c r="D58" s="68">
        <v>0</v>
      </c>
      <c r="E58" s="68">
        <f>1676+68000</f>
        <v>69676</v>
      </c>
      <c r="F58" s="68">
        <f>E58</f>
        <v>69676</v>
      </c>
      <c r="G58" s="68">
        <v>0</v>
      </c>
      <c r="H58" s="68">
        <v>0</v>
      </c>
      <c r="I58" s="68">
        <v>0</v>
      </c>
      <c r="J58" s="68">
        <v>0</v>
      </c>
    </row>
    <row r="59" spans="1:10" s="34" customFormat="1" ht="19.5" customHeight="1">
      <c r="A59" s="133" t="s">
        <v>168</v>
      </c>
      <c r="B59" s="133"/>
      <c r="C59" s="133"/>
      <c r="D59" s="69">
        <f>D34+D35+D36+D38+D39+D40+D41+D42+D46+D47+D48+D49+D50+D37+D43+D44+D45+D51+D52+D53+D54+D55+D56+D57+D58</f>
        <v>7917541</v>
      </c>
      <c r="E59" s="69">
        <f aca="true" t="shared" si="4" ref="E59:J59">E34+E35+E36+E38+E39+E40+E41+E42+E46+E47+E48+E49+E50+E37+E43+E44+E45+E51+E52+E53+E54+E55+E56+E57+E58</f>
        <v>7917541</v>
      </c>
      <c r="F59" s="69">
        <f t="shared" si="4"/>
        <v>7917541</v>
      </c>
      <c r="G59" s="69">
        <f t="shared" si="4"/>
        <v>157033</v>
      </c>
      <c r="H59" s="69">
        <f t="shared" si="4"/>
        <v>104858</v>
      </c>
      <c r="I59" s="69">
        <f t="shared" si="4"/>
        <v>0</v>
      </c>
      <c r="J59" s="69">
        <f t="shared" si="4"/>
        <v>0</v>
      </c>
    </row>
    <row r="60" spans="1:10" ht="19.5" customHeight="1">
      <c r="A60" s="132" t="s">
        <v>119</v>
      </c>
      <c r="B60" s="132"/>
      <c r="C60" s="132"/>
      <c r="D60" s="71">
        <f aca="true" t="shared" si="5" ref="D60:J60">D59+D33+D20+D14</f>
        <v>8241619</v>
      </c>
      <c r="E60" s="71">
        <f t="shared" si="5"/>
        <v>8241619</v>
      </c>
      <c r="F60" s="71">
        <f t="shared" si="5"/>
        <v>8241619</v>
      </c>
      <c r="G60" s="71">
        <f t="shared" si="5"/>
        <v>268653</v>
      </c>
      <c r="H60" s="71">
        <f t="shared" si="5"/>
        <v>126866</v>
      </c>
      <c r="I60" s="71">
        <f t="shared" si="5"/>
        <v>0</v>
      </c>
      <c r="J60" s="71">
        <f t="shared" si="5"/>
        <v>0</v>
      </c>
    </row>
    <row r="62" ht="12.75">
      <c r="J62" t="s">
        <v>258</v>
      </c>
    </row>
    <row r="63" ht="12.75">
      <c r="J63" t="s">
        <v>259</v>
      </c>
    </row>
    <row r="64" ht="12.75">
      <c r="J64" t="s">
        <v>260</v>
      </c>
    </row>
  </sheetData>
  <mergeCells count="16">
    <mergeCell ref="A60:C60"/>
    <mergeCell ref="G8:I8"/>
    <mergeCell ref="J8:J9"/>
    <mergeCell ref="F7:J7"/>
    <mergeCell ref="A33:C33"/>
    <mergeCell ref="A20:C20"/>
    <mergeCell ref="A59:C59"/>
    <mergeCell ref="A14:C14"/>
    <mergeCell ref="G1:J3"/>
    <mergeCell ref="A5:J5"/>
    <mergeCell ref="F8:F9"/>
    <mergeCell ref="D7:D9"/>
    <mergeCell ref="E7:E9"/>
    <mergeCell ref="A7:A9"/>
    <mergeCell ref="B7:B9"/>
    <mergeCell ref="C7:C9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workbookViewId="0" topLeftCell="A1">
      <selection activeCell="E1" sqref="E1:I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125" style="0" customWidth="1"/>
    <col min="4" max="4" width="15.00390625" style="0" customWidth="1"/>
    <col min="5" max="5" width="10.375" style="0" bestFit="1" customWidth="1"/>
    <col min="6" max="6" width="10.75390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110" t="s">
        <v>266</v>
      </c>
      <c r="F1" s="110"/>
      <c r="G1" s="110"/>
      <c r="H1" s="110"/>
      <c r="I1" s="110"/>
    </row>
    <row r="2" spans="5:9" ht="12.75">
      <c r="E2" s="110"/>
      <c r="F2" s="110"/>
      <c r="G2" s="110"/>
      <c r="H2" s="110"/>
      <c r="I2" s="110"/>
    </row>
    <row r="3" spans="5:9" ht="12.75">
      <c r="E3" s="110"/>
      <c r="F3" s="110"/>
      <c r="G3" s="110"/>
      <c r="H3" s="110"/>
      <c r="I3" s="110"/>
    </row>
    <row r="5" spans="1:9" ht="16.5" customHeight="1">
      <c r="A5" s="109" t="s">
        <v>246</v>
      </c>
      <c r="B5" s="109"/>
      <c r="C5" s="109"/>
      <c r="D5" s="109"/>
      <c r="E5" s="109"/>
      <c r="F5" s="109"/>
      <c r="G5" s="109"/>
      <c r="H5" s="109"/>
      <c r="I5" s="109"/>
    </row>
    <row r="6" spans="1:9" ht="16.5" customHeight="1">
      <c r="A6" s="109"/>
      <c r="B6" s="109"/>
      <c r="C6" s="109"/>
      <c r="D6" s="109"/>
      <c r="E6" s="109"/>
      <c r="F6" s="109"/>
      <c r="G6" s="109"/>
      <c r="H6" s="109"/>
      <c r="I6" s="109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1"/>
      <c r="H8" s="1"/>
      <c r="I8" s="4" t="s">
        <v>40</v>
      </c>
    </row>
    <row r="9" spans="1:9" ht="15" customHeight="1">
      <c r="A9" s="121" t="s">
        <v>57</v>
      </c>
      <c r="B9" s="121" t="s">
        <v>0</v>
      </c>
      <c r="C9" s="120" t="s">
        <v>2</v>
      </c>
      <c r="D9" s="120" t="s">
        <v>61</v>
      </c>
      <c r="E9" s="120" t="s">
        <v>69</v>
      </c>
      <c r="F9" s="120"/>
      <c r="G9" s="120" t="s">
        <v>8</v>
      </c>
      <c r="H9" s="120"/>
      <c r="I9" s="120" t="s">
        <v>63</v>
      </c>
    </row>
    <row r="10" spans="1:9" ht="15" customHeight="1">
      <c r="A10" s="121"/>
      <c r="B10" s="121"/>
      <c r="C10" s="120"/>
      <c r="D10" s="120"/>
      <c r="E10" s="120" t="s">
        <v>7</v>
      </c>
      <c r="F10" s="120" t="s">
        <v>118</v>
      </c>
      <c r="G10" s="120" t="s">
        <v>7</v>
      </c>
      <c r="H10" s="120" t="s">
        <v>62</v>
      </c>
      <c r="I10" s="120"/>
    </row>
    <row r="11" spans="1:9" ht="15" customHeight="1">
      <c r="A11" s="121"/>
      <c r="B11" s="121"/>
      <c r="C11" s="120"/>
      <c r="D11" s="120"/>
      <c r="E11" s="120"/>
      <c r="F11" s="120"/>
      <c r="G11" s="120"/>
      <c r="H11" s="120"/>
      <c r="I11" s="120"/>
    </row>
    <row r="12" spans="1:9" ht="15" customHeight="1">
      <c r="A12" s="121"/>
      <c r="B12" s="121"/>
      <c r="C12" s="120"/>
      <c r="D12" s="120"/>
      <c r="E12" s="120"/>
      <c r="F12" s="120"/>
      <c r="G12" s="120"/>
      <c r="H12" s="120"/>
      <c r="I12" s="120"/>
    </row>
    <row r="13" spans="1:9" ht="11.25" customHeigh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10" ht="21.75" customHeight="1">
      <c r="A14" s="26" t="s">
        <v>9</v>
      </c>
      <c r="B14" s="13" t="s">
        <v>10</v>
      </c>
      <c r="C14" s="13"/>
      <c r="D14" s="54">
        <f aca="true" t="shared" si="0" ref="D14:I14">D16+D17+D18</f>
        <v>23250</v>
      </c>
      <c r="E14" s="54">
        <f>E16+E17+E18</f>
        <v>3882688</v>
      </c>
      <c r="F14" s="54">
        <f>F16+F17+F18</f>
        <v>2401766</v>
      </c>
      <c r="G14" s="54">
        <f>G16+G17+G18</f>
        <v>3842717.5</v>
      </c>
      <c r="H14" s="54">
        <f t="shared" si="0"/>
        <v>0</v>
      </c>
      <c r="I14" s="54">
        <f t="shared" si="0"/>
        <v>53367.25</v>
      </c>
      <c r="J14" s="100"/>
    </row>
    <row r="15" spans="1:9" ht="21.75" customHeight="1">
      <c r="A15" s="27"/>
      <c r="B15" s="28" t="s">
        <v>6</v>
      </c>
      <c r="C15" s="28"/>
      <c r="D15" s="52"/>
      <c r="E15" s="52"/>
      <c r="F15" s="52"/>
      <c r="G15" s="52"/>
      <c r="H15" s="52"/>
      <c r="I15" s="52"/>
    </row>
    <row r="16" spans="1:10" ht="21.75" customHeight="1">
      <c r="A16" s="27"/>
      <c r="B16" s="29" t="s">
        <v>160</v>
      </c>
      <c r="C16" s="29">
        <v>801</v>
      </c>
      <c r="D16" s="52">
        <v>5050</v>
      </c>
      <c r="E16" s="52">
        <f>2260149+17800+12700+15000</f>
        <v>2305649</v>
      </c>
      <c r="F16" s="52">
        <f>1766227+17800+12700</f>
        <v>1796727</v>
      </c>
      <c r="G16" s="52">
        <f>2259292+17800+12700+15000</f>
        <v>2304792</v>
      </c>
      <c r="H16" s="52">
        <v>0</v>
      </c>
      <c r="I16" s="52">
        <v>5907</v>
      </c>
      <c r="J16" s="100"/>
    </row>
    <row r="17" spans="1:9" ht="21.75" customHeight="1">
      <c r="A17" s="27"/>
      <c r="B17" s="29" t="s">
        <v>161</v>
      </c>
      <c r="C17" s="29">
        <v>926</v>
      </c>
      <c r="D17" s="52">
        <v>0</v>
      </c>
      <c r="E17" s="52">
        <f>842439/4</f>
        <v>210609.75</v>
      </c>
      <c r="F17" s="52">
        <f>325039-243781</f>
        <v>81258</v>
      </c>
      <c r="G17" s="52">
        <f>803026/4</f>
        <v>200756.5</v>
      </c>
      <c r="H17" s="52">
        <v>0</v>
      </c>
      <c r="I17" s="52"/>
    </row>
    <row r="18" spans="1:10" ht="21.75" customHeight="1">
      <c r="A18" s="27"/>
      <c r="B18" s="29" t="s">
        <v>162</v>
      </c>
      <c r="C18" s="29">
        <v>926</v>
      </c>
      <c r="D18" s="52">
        <v>18200</v>
      </c>
      <c r="E18" s="52">
        <f>737600+20000-25000+(842439/4)*3+2000</f>
        <v>1366429.25</v>
      </c>
      <c r="F18" s="52">
        <f>285000+20000-25000+243781</f>
        <v>523781</v>
      </c>
      <c r="G18" s="52">
        <f>1335169+2000</f>
        <v>1337169</v>
      </c>
      <c r="H18" s="52">
        <v>0</v>
      </c>
      <c r="I18" s="52">
        <f>D18+E18-G18</f>
        <v>47460.25</v>
      </c>
      <c r="J18" s="100"/>
    </row>
    <row r="19" spans="1:9" ht="21.75" customHeight="1">
      <c r="A19" s="26" t="s">
        <v>15</v>
      </c>
      <c r="B19" s="13" t="s">
        <v>14</v>
      </c>
      <c r="C19" s="13"/>
      <c r="D19" s="13"/>
      <c r="E19" s="13"/>
      <c r="F19" s="13"/>
      <c r="G19" s="13"/>
      <c r="H19" s="13"/>
      <c r="I19" s="13"/>
    </row>
    <row r="20" spans="1:9" ht="21.75" customHeight="1">
      <c r="A20" s="27"/>
      <c r="B20" s="28" t="s">
        <v>6</v>
      </c>
      <c r="C20" s="28"/>
      <c r="D20" s="14"/>
      <c r="E20" s="14"/>
      <c r="F20" s="14"/>
      <c r="G20" s="14"/>
      <c r="H20" s="14"/>
      <c r="I20" s="14"/>
    </row>
    <row r="21" spans="1:9" ht="21.75" customHeight="1">
      <c r="A21" s="27"/>
      <c r="B21" s="29" t="s">
        <v>11</v>
      </c>
      <c r="C21" s="29"/>
      <c r="D21" s="14"/>
      <c r="E21" s="14"/>
      <c r="F21" s="14"/>
      <c r="G21" s="14"/>
      <c r="H21" s="14"/>
      <c r="I21" s="14"/>
    </row>
    <row r="22" spans="1:9" ht="21.75" customHeight="1">
      <c r="A22" s="26" t="s">
        <v>16</v>
      </c>
      <c r="B22" s="13" t="s">
        <v>71</v>
      </c>
      <c r="C22" s="13"/>
      <c r="D22" s="54">
        <f>D24+D25+D26+D27</f>
        <v>33415</v>
      </c>
      <c r="E22" s="54">
        <f>E24+E25+E26+E27</f>
        <v>524606</v>
      </c>
      <c r="F22" s="54" t="s">
        <v>43</v>
      </c>
      <c r="G22" s="54">
        <f>G24+G25+G26+G27</f>
        <v>524606</v>
      </c>
      <c r="H22" s="54">
        <f>H24+H25+H26+H27</f>
        <v>0</v>
      </c>
      <c r="I22" s="54">
        <f>I24+I25+I26+I27</f>
        <v>33415</v>
      </c>
    </row>
    <row r="23" spans="1:9" ht="21.75" customHeight="1">
      <c r="A23" s="14"/>
      <c r="B23" s="28" t="s">
        <v>6</v>
      </c>
      <c r="C23" s="28"/>
      <c r="D23" s="52"/>
      <c r="E23" s="52"/>
      <c r="F23" s="52"/>
      <c r="G23" s="52"/>
      <c r="H23" s="52"/>
      <c r="I23" s="52"/>
    </row>
    <row r="24" spans="1:9" ht="21.75" customHeight="1">
      <c r="A24" s="14"/>
      <c r="B24" s="29" t="s">
        <v>163</v>
      </c>
      <c r="C24" s="29">
        <v>801</v>
      </c>
      <c r="D24" s="52">
        <v>25011</v>
      </c>
      <c r="E24" s="52">
        <v>91858</v>
      </c>
      <c r="F24" s="52" t="s">
        <v>43</v>
      </c>
      <c r="G24" s="52">
        <v>91858</v>
      </c>
      <c r="H24" s="52">
        <v>0</v>
      </c>
      <c r="I24" s="52">
        <f>D24+E24-G24</f>
        <v>25011</v>
      </c>
    </row>
    <row r="25" spans="1:9" ht="21.75" customHeight="1">
      <c r="A25" s="14"/>
      <c r="B25" s="29" t="s">
        <v>164</v>
      </c>
      <c r="C25" s="29">
        <v>801</v>
      </c>
      <c r="D25" s="52">
        <v>1165</v>
      </c>
      <c r="E25" s="52">
        <v>5000</v>
      </c>
      <c r="F25" s="52" t="s">
        <v>43</v>
      </c>
      <c r="G25" s="52">
        <v>5000</v>
      </c>
      <c r="H25" s="52">
        <v>0</v>
      </c>
      <c r="I25" s="52">
        <f>D25+E25-G25</f>
        <v>1165</v>
      </c>
    </row>
    <row r="26" spans="1:9" ht="21.75" customHeight="1">
      <c r="A26" s="14"/>
      <c r="B26" s="29" t="s">
        <v>165</v>
      </c>
      <c r="C26" s="29">
        <v>801</v>
      </c>
      <c r="D26" s="52">
        <v>7178</v>
      </c>
      <c r="E26" s="52">
        <v>18000</v>
      </c>
      <c r="F26" s="52" t="s">
        <v>43</v>
      </c>
      <c r="G26" s="52">
        <v>18000</v>
      </c>
      <c r="H26" s="52">
        <v>0</v>
      </c>
      <c r="I26" s="52">
        <f>D26+E26-G26</f>
        <v>7178</v>
      </c>
    </row>
    <row r="27" spans="1:9" ht="21.75" customHeight="1">
      <c r="A27" s="15"/>
      <c r="B27" s="30" t="s">
        <v>166</v>
      </c>
      <c r="C27" s="30">
        <v>854</v>
      </c>
      <c r="D27" s="53">
        <v>61</v>
      </c>
      <c r="E27" s="53">
        <v>409748</v>
      </c>
      <c r="F27" s="53" t="s">
        <v>43</v>
      </c>
      <c r="G27" s="53">
        <v>409748</v>
      </c>
      <c r="H27" s="53">
        <v>0</v>
      </c>
      <c r="I27" s="52">
        <f>D27+E27-G27</f>
        <v>61</v>
      </c>
    </row>
    <row r="28" spans="1:10" s="34" customFormat="1" ht="21.75" customHeight="1">
      <c r="A28" s="111" t="s">
        <v>119</v>
      </c>
      <c r="B28" s="111"/>
      <c r="C28" s="35"/>
      <c r="D28" s="55">
        <f>D22+D14</f>
        <v>56665</v>
      </c>
      <c r="E28" s="55">
        <f>E22+E14</f>
        <v>4407294</v>
      </c>
      <c r="F28" s="55">
        <f>F14</f>
        <v>2401766</v>
      </c>
      <c r="G28" s="55">
        <f>G22+G14</f>
        <v>4367323.5</v>
      </c>
      <c r="H28" s="55">
        <f>H22+H14</f>
        <v>0</v>
      </c>
      <c r="I28" s="55">
        <f>I22+I14</f>
        <v>86782.25</v>
      </c>
      <c r="J28" s="101"/>
    </row>
    <row r="29" ht="4.5" customHeight="1"/>
    <row r="30" ht="14.25">
      <c r="A30" t="s">
        <v>70</v>
      </c>
    </row>
    <row r="33" spans="4:9" ht="12.75">
      <c r="D33" t="s">
        <v>264</v>
      </c>
      <c r="I33" t="s">
        <v>258</v>
      </c>
    </row>
    <row r="34" ht="12.75">
      <c r="I34" t="s">
        <v>259</v>
      </c>
    </row>
    <row r="35" ht="12.75">
      <c r="I35" t="s">
        <v>260</v>
      </c>
    </row>
  </sheetData>
  <mergeCells count="14">
    <mergeCell ref="A28:B28"/>
    <mergeCell ref="E9:F9"/>
    <mergeCell ref="G9:H9"/>
    <mergeCell ref="C9:C12"/>
    <mergeCell ref="A5:I6"/>
    <mergeCell ref="E1:I3"/>
    <mergeCell ref="A9:A12"/>
    <mergeCell ref="B9:B12"/>
    <mergeCell ref="D9:D12"/>
    <mergeCell ref="E10:E12"/>
    <mergeCell ref="F10:F12"/>
    <mergeCell ref="G10:G12"/>
    <mergeCell ref="H10:H12"/>
    <mergeCell ref="I9:I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E1" sqref="E1:G3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7" ht="12.75" customHeight="1">
      <c r="E1" s="137" t="s">
        <v>267</v>
      </c>
      <c r="F1" s="137"/>
      <c r="G1" s="137"/>
    </row>
    <row r="2" spans="5:7" ht="12.75">
      <c r="E2" s="137"/>
      <c r="F2" s="137"/>
      <c r="G2" s="137"/>
    </row>
    <row r="3" spans="5:7" ht="12.75">
      <c r="E3" s="137"/>
      <c r="F3" s="137"/>
      <c r="G3" s="137"/>
    </row>
    <row r="4" spans="5:7" ht="12.75">
      <c r="E4" s="61"/>
      <c r="F4" s="61"/>
      <c r="G4" s="61"/>
    </row>
    <row r="5" spans="1:6" ht="19.5" customHeight="1">
      <c r="A5" s="126" t="s">
        <v>75</v>
      </c>
      <c r="B5" s="126"/>
      <c r="C5" s="126"/>
      <c r="D5" s="126"/>
      <c r="E5" s="126"/>
      <c r="F5" s="126"/>
    </row>
    <row r="6" spans="4:6" ht="19.5" customHeight="1">
      <c r="D6" s="3"/>
      <c r="E6" s="3"/>
      <c r="F6" s="3"/>
    </row>
    <row r="7" spans="4:6" ht="19.5" customHeight="1">
      <c r="D7" s="1"/>
      <c r="E7" s="1"/>
      <c r="F7" s="6" t="s">
        <v>40</v>
      </c>
    </row>
    <row r="8" spans="1:6" ht="19.5" customHeight="1">
      <c r="A8" s="121" t="s">
        <v>57</v>
      </c>
      <c r="B8" s="121" t="s">
        <v>2</v>
      </c>
      <c r="C8" s="121" t="s">
        <v>3</v>
      </c>
      <c r="D8" s="120" t="s">
        <v>72</v>
      </c>
      <c r="E8" s="120" t="s">
        <v>74</v>
      </c>
      <c r="F8" s="120" t="s">
        <v>41</v>
      </c>
    </row>
    <row r="9" spans="1:6" ht="19.5" customHeight="1">
      <c r="A9" s="121"/>
      <c r="B9" s="121"/>
      <c r="C9" s="121"/>
      <c r="D9" s="120"/>
      <c r="E9" s="120"/>
      <c r="F9" s="120"/>
    </row>
    <row r="10" spans="1:6" ht="19.5" customHeight="1">
      <c r="A10" s="121"/>
      <c r="B10" s="121"/>
      <c r="C10" s="121"/>
      <c r="D10" s="120"/>
      <c r="E10" s="120"/>
      <c r="F10" s="120"/>
    </row>
    <row r="11" spans="1:6" ht="12.75" customHeight="1">
      <c r="A11" s="62">
        <v>1</v>
      </c>
      <c r="B11" s="62">
        <v>2</v>
      </c>
      <c r="C11" s="62">
        <v>3</v>
      </c>
      <c r="D11" s="62">
        <v>4</v>
      </c>
      <c r="E11" s="62">
        <v>5</v>
      </c>
      <c r="F11" s="62">
        <v>6</v>
      </c>
    </row>
    <row r="12" spans="1:6" ht="50.25" customHeight="1">
      <c r="A12" s="18" t="s">
        <v>11</v>
      </c>
      <c r="B12" s="16">
        <v>801</v>
      </c>
      <c r="C12" s="16">
        <v>80104</v>
      </c>
      <c r="D12" s="56" t="s">
        <v>170</v>
      </c>
      <c r="E12" s="58" t="s">
        <v>172</v>
      </c>
      <c r="F12" s="60">
        <f>1766227+17800+12700</f>
        <v>1796727</v>
      </c>
    </row>
    <row r="13" spans="1:6" ht="30" customHeight="1">
      <c r="A13" s="18" t="s">
        <v>12</v>
      </c>
      <c r="B13" s="16">
        <v>926</v>
      </c>
      <c r="C13" s="16">
        <v>92601</v>
      </c>
      <c r="D13" s="56" t="s">
        <v>173</v>
      </c>
      <c r="E13" s="58" t="s">
        <v>174</v>
      </c>
      <c r="F13" s="60">
        <v>81258</v>
      </c>
    </row>
    <row r="14" spans="1:6" ht="30" customHeight="1">
      <c r="A14" s="18" t="s">
        <v>13</v>
      </c>
      <c r="B14" s="16">
        <v>926</v>
      </c>
      <c r="C14" s="16">
        <v>92604</v>
      </c>
      <c r="D14" s="57" t="s">
        <v>169</v>
      </c>
      <c r="E14" s="58" t="s">
        <v>171</v>
      </c>
      <c r="F14" s="60">
        <f>280000+325039-81258</f>
        <v>523781</v>
      </c>
    </row>
    <row r="15" spans="1:6" s="1" customFormat="1" ht="30" customHeight="1">
      <c r="A15" s="125" t="s">
        <v>119</v>
      </c>
      <c r="B15" s="125"/>
      <c r="C15" s="125"/>
      <c r="D15" s="125"/>
      <c r="E15" s="18"/>
      <c r="F15" s="55">
        <f>SUM(F12:F14)</f>
        <v>2401766</v>
      </c>
    </row>
    <row r="19" ht="12.75">
      <c r="F19" t="s">
        <v>258</v>
      </c>
    </row>
    <row r="20" ht="12.75">
      <c r="F20" t="s">
        <v>259</v>
      </c>
    </row>
    <row r="21" ht="12.75">
      <c r="F21" t="s">
        <v>260</v>
      </c>
    </row>
  </sheetData>
  <mergeCells count="9">
    <mergeCell ref="E1:G3"/>
    <mergeCell ref="A15:D15"/>
    <mergeCell ref="A5:F5"/>
    <mergeCell ref="F8:F10"/>
    <mergeCell ref="D8:D10"/>
    <mergeCell ref="E8:E10"/>
    <mergeCell ref="A8:A10"/>
    <mergeCell ref="B8:B10"/>
    <mergeCell ref="C8:C10"/>
  </mergeCells>
  <printOptions horizontalCentered="1"/>
  <pageMargins left="0.3937007874015748" right="0.3937007874015748" top="1.2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workbookViewId="0" topLeftCell="F1">
      <selection activeCell="B6" sqref="B6"/>
    </sheetView>
  </sheetViews>
  <sheetFormatPr defaultColWidth="9.00390625" defaultRowHeight="12.75"/>
  <cols>
    <col min="1" max="1" width="3.625" style="7" bestFit="1" customWidth="1"/>
    <col min="2" max="2" width="22.75390625" style="7" customWidth="1"/>
    <col min="3" max="3" width="13.00390625" style="7" customWidth="1"/>
    <col min="4" max="4" width="10.625" style="7" customWidth="1"/>
    <col min="5" max="5" width="12.00390625" style="7" customWidth="1"/>
    <col min="6" max="6" width="9.125" style="7" customWidth="1"/>
    <col min="7" max="7" width="7.25390625" style="7" customWidth="1"/>
    <col min="8" max="8" width="7.375" style="7" customWidth="1"/>
    <col min="9" max="9" width="8.75390625" style="7" customWidth="1"/>
    <col min="10" max="11" width="7.75390625" style="7" customWidth="1"/>
    <col min="12" max="12" width="9.75390625" style="7" customWidth="1"/>
    <col min="13" max="13" width="11.75390625" style="7" customWidth="1"/>
    <col min="14" max="14" width="12.375" style="7" customWidth="1"/>
    <col min="15" max="15" width="8.25390625" style="7" customWidth="1"/>
    <col min="16" max="16" width="8.125" style="7" customWidth="1"/>
    <col min="17" max="17" width="8.75390625" style="7" customWidth="1"/>
    <col min="18" max="16384" width="10.25390625" style="7" customWidth="1"/>
  </cols>
  <sheetData>
    <row r="1" spans="12:17" ht="11.25">
      <c r="L1" s="138" t="s">
        <v>255</v>
      </c>
      <c r="M1" s="138"/>
      <c r="N1" s="138"/>
      <c r="O1" s="138"/>
      <c r="P1" s="138"/>
      <c r="Q1" s="138"/>
    </row>
    <row r="2" spans="12:17" ht="15.75" customHeight="1">
      <c r="L2" s="138"/>
      <c r="M2" s="138"/>
      <c r="N2" s="138"/>
      <c r="O2" s="138"/>
      <c r="P2" s="138"/>
      <c r="Q2" s="138"/>
    </row>
    <row r="4" spans="2:16" ht="11.25">
      <c r="B4" s="139" t="s">
        <v>256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7" spans="1:17" ht="12.75">
      <c r="A7" s="141" t="s">
        <v>251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9" spans="1:17" ht="11.25">
      <c r="A9" s="143" t="s">
        <v>57</v>
      </c>
      <c r="B9" s="143" t="s">
        <v>77</v>
      </c>
      <c r="C9" s="142" t="s">
        <v>78</v>
      </c>
      <c r="D9" s="142" t="s">
        <v>114</v>
      </c>
      <c r="E9" s="142" t="s">
        <v>113</v>
      </c>
      <c r="F9" s="143" t="s">
        <v>6</v>
      </c>
      <c r="G9" s="143"/>
      <c r="H9" s="143" t="s">
        <v>76</v>
      </c>
      <c r="I9" s="143"/>
      <c r="J9" s="143"/>
      <c r="K9" s="143"/>
      <c r="L9" s="143"/>
      <c r="M9" s="143"/>
      <c r="N9" s="143"/>
      <c r="O9" s="143"/>
      <c r="P9" s="143"/>
      <c r="Q9" s="143"/>
    </row>
    <row r="10" spans="1:17" ht="11.25">
      <c r="A10" s="143"/>
      <c r="B10" s="143"/>
      <c r="C10" s="142"/>
      <c r="D10" s="142"/>
      <c r="E10" s="142"/>
      <c r="F10" s="142" t="s">
        <v>110</v>
      </c>
      <c r="G10" s="142" t="s">
        <v>111</v>
      </c>
      <c r="H10" s="143" t="s">
        <v>67</v>
      </c>
      <c r="I10" s="143"/>
      <c r="J10" s="143"/>
      <c r="K10" s="143"/>
      <c r="L10" s="143"/>
      <c r="M10" s="143"/>
      <c r="N10" s="143"/>
      <c r="O10" s="143"/>
      <c r="P10" s="143"/>
      <c r="Q10" s="143"/>
    </row>
    <row r="11" spans="1:17" ht="11.25">
      <c r="A11" s="143"/>
      <c r="B11" s="143"/>
      <c r="C11" s="142"/>
      <c r="D11" s="142"/>
      <c r="E11" s="142"/>
      <c r="F11" s="142"/>
      <c r="G11" s="142"/>
      <c r="H11" s="142" t="s">
        <v>80</v>
      </c>
      <c r="I11" s="143" t="s">
        <v>81</v>
      </c>
      <c r="J11" s="143"/>
      <c r="K11" s="143"/>
      <c r="L11" s="143"/>
      <c r="M11" s="143"/>
      <c r="N11" s="143"/>
      <c r="O11" s="143"/>
      <c r="P11" s="143"/>
      <c r="Q11" s="143"/>
    </row>
    <row r="12" spans="1:17" ht="14.25" customHeight="1">
      <c r="A12" s="143"/>
      <c r="B12" s="143"/>
      <c r="C12" s="142"/>
      <c r="D12" s="142"/>
      <c r="E12" s="142"/>
      <c r="F12" s="142"/>
      <c r="G12" s="142"/>
      <c r="H12" s="142"/>
      <c r="I12" s="143" t="s">
        <v>82</v>
      </c>
      <c r="J12" s="143"/>
      <c r="K12" s="143"/>
      <c r="L12" s="143"/>
      <c r="M12" s="143" t="s">
        <v>79</v>
      </c>
      <c r="N12" s="143"/>
      <c r="O12" s="143"/>
      <c r="P12" s="143"/>
      <c r="Q12" s="143"/>
    </row>
    <row r="13" spans="1:17" ht="12.75" customHeight="1">
      <c r="A13" s="143"/>
      <c r="B13" s="143"/>
      <c r="C13" s="142"/>
      <c r="D13" s="142"/>
      <c r="E13" s="142"/>
      <c r="F13" s="142"/>
      <c r="G13" s="142"/>
      <c r="H13" s="142"/>
      <c r="I13" s="142" t="s">
        <v>83</v>
      </c>
      <c r="J13" s="143" t="s">
        <v>84</v>
      </c>
      <c r="K13" s="143"/>
      <c r="L13" s="143"/>
      <c r="M13" s="142" t="s">
        <v>85</v>
      </c>
      <c r="N13" s="142" t="s">
        <v>84</v>
      </c>
      <c r="O13" s="142"/>
      <c r="P13" s="142"/>
      <c r="Q13" s="142"/>
    </row>
    <row r="14" spans="1:17" ht="48" customHeight="1">
      <c r="A14" s="143"/>
      <c r="B14" s="143"/>
      <c r="C14" s="142"/>
      <c r="D14" s="142"/>
      <c r="E14" s="142"/>
      <c r="F14" s="142"/>
      <c r="G14" s="142"/>
      <c r="H14" s="142"/>
      <c r="I14" s="142"/>
      <c r="J14" s="31" t="s">
        <v>112</v>
      </c>
      <c r="K14" s="31" t="s">
        <v>86</v>
      </c>
      <c r="L14" s="31" t="s">
        <v>87</v>
      </c>
      <c r="M14" s="142"/>
      <c r="N14" s="31" t="s">
        <v>88</v>
      </c>
      <c r="O14" s="31" t="s">
        <v>112</v>
      </c>
      <c r="P14" s="31" t="s">
        <v>86</v>
      </c>
      <c r="Q14" s="31" t="s">
        <v>89</v>
      </c>
    </row>
    <row r="15" spans="1:17" ht="7.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Q15" s="8">
        <v>17</v>
      </c>
    </row>
    <row r="16" spans="1:17" s="36" customFormat="1" ht="11.25">
      <c r="A16" s="102">
        <v>1</v>
      </c>
      <c r="B16" s="32" t="s">
        <v>95</v>
      </c>
      <c r="C16" s="140" t="s">
        <v>43</v>
      </c>
      <c r="D16" s="140"/>
      <c r="E16" s="106">
        <f>E30+E21</f>
        <v>5770</v>
      </c>
      <c r="F16" s="106">
        <f>F30+F21</f>
        <v>0</v>
      </c>
      <c r="G16" s="106">
        <f>G30+G21</f>
        <v>5770</v>
      </c>
      <c r="H16" s="106">
        <f aca="true" t="shared" si="0" ref="H16:Q16">H30+H21</f>
        <v>5770</v>
      </c>
      <c r="I16" s="106">
        <f t="shared" si="0"/>
        <v>0</v>
      </c>
      <c r="J16" s="106">
        <f t="shared" si="0"/>
        <v>0</v>
      </c>
      <c r="K16" s="106">
        <f t="shared" si="0"/>
        <v>0</v>
      </c>
      <c r="L16" s="106">
        <f t="shared" si="0"/>
        <v>0</v>
      </c>
      <c r="M16" s="106">
        <f t="shared" si="0"/>
        <v>5770</v>
      </c>
      <c r="N16" s="106">
        <f t="shared" si="0"/>
        <v>0</v>
      </c>
      <c r="O16" s="106">
        <f>O30+O21</f>
        <v>0</v>
      </c>
      <c r="P16" s="106">
        <f t="shared" si="0"/>
        <v>0</v>
      </c>
      <c r="Q16" s="106">
        <f t="shared" si="0"/>
        <v>5770</v>
      </c>
    </row>
    <row r="17" spans="1:17" s="36" customFormat="1" ht="12.75" customHeight="1">
      <c r="A17" s="145" t="s">
        <v>90</v>
      </c>
      <c r="B17" s="103" t="s">
        <v>253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s="36" customFormat="1" ht="12.75" customHeight="1">
      <c r="A18" s="145"/>
      <c r="B18" s="103" t="s">
        <v>254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17" s="36" customFormat="1" ht="12.75" customHeight="1">
      <c r="A19" s="145"/>
      <c r="B19" s="104" t="s">
        <v>91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</row>
    <row r="20" spans="1:17" s="36" customFormat="1" ht="12.75" customHeight="1">
      <c r="A20" s="145"/>
      <c r="B20" s="104" t="s">
        <v>92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</row>
    <row r="21" spans="1:17" s="36" customFormat="1" ht="11.25">
      <c r="A21" s="145"/>
      <c r="B21" s="104" t="s">
        <v>93</v>
      </c>
      <c r="C21" s="105"/>
      <c r="D21" s="105"/>
      <c r="E21" s="107">
        <f>E22+E23+E24+E25</f>
        <v>3667</v>
      </c>
      <c r="F21" s="107">
        <f>F22+F23+F24+F25</f>
        <v>0</v>
      </c>
      <c r="G21" s="107">
        <f>G22+G23+G24+G25</f>
        <v>3667</v>
      </c>
      <c r="H21" s="107">
        <f>I21+M21</f>
        <v>3667</v>
      </c>
      <c r="I21" s="107">
        <f>J21+K21+L21</f>
        <v>0</v>
      </c>
      <c r="J21" s="107">
        <v>0</v>
      </c>
      <c r="K21" s="107">
        <v>0</v>
      </c>
      <c r="L21" s="107">
        <v>0</v>
      </c>
      <c r="M21" s="107">
        <f>Q21</f>
        <v>3667</v>
      </c>
      <c r="N21" s="107">
        <v>0</v>
      </c>
      <c r="O21" s="107">
        <v>0</v>
      </c>
      <c r="P21" s="107">
        <v>0</v>
      </c>
      <c r="Q21" s="107">
        <v>3667</v>
      </c>
    </row>
    <row r="22" spans="1:17" s="36" customFormat="1" ht="11.25">
      <c r="A22" s="145"/>
      <c r="B22" s="104" t="s">
        <v>94</v>
      </c>
      <c r="C22" s="140"/>
      <c r="D22" s="140"/>
      <c r="E22" s="108">
        <f>G22+F22</f>
        <v>0</v>
      </c>
      <c r="F22" s="108">
        <v>0</v>
      </c>
      <c r="G22" s="108">
        <v>0</v>
      </c>
      <c r="H22" s="140"/>
      <c r="I22" s="140"/>
      <c r="J22" s="140"/>
      <c r="K22" s="140"/>
      <c r="L22" s="140"/>
      <c r="M22" s="140"/>
      <c r="N22" s="140"/>
      <c r="O22" s="140"/>
      <c r="P22" s="140"/>
      <c r="Q22" s="140"/>
    </row>
    <row r="23" spans="1:17" s="36" customFormat="1" ht="12.75" customHeight="1">
      <c r="A23" s="145"/>
      <c r="B23" s="104" t="s">
        <v>67</v>
      </c>
      <c r="C23" s="140"/>
      <c r="D23" s="140"/>
      <c r="E23" s="108">
        <f>G23+F23</f>
        <v>3667</v>
      </c>
      <c r="F23" s="108">
        <v>0</v>
      </c>
      <c r="G23" s="108">
        <v>3667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/>
    </row>
    <row r="24" spans="1:17" s="36" customFormat="1" ht="12.75" customHeight="1">
      <c r="A24" s="145"/>
      <c r="B24" s="104" t="s">
        <v>54</v>
      </c>
      <c r="C24" s="140"/>
      <c r="D24" s="140"/>
      <c r="E24" s="108">
        <f>G24+F24</f>
        <v>0</v>
      </c>
      <c r="F24" s="108">
        <v>0</v>
      </c>
      <c r="G24" s="108">
        <v>0</v>
      </c>
      <c r="H24" s="140"/>
      <c r="I24" s="140"/>
      <c r="J24" s="140"/>
      <c r="K24" s="140"/>
      <c r="L24" s="140"/>
      <c r="M24" s="140"/>
      <c r="N24" s="140"/>
      <c r="O24" s="140"/>
      <c r="P24" s="140"/>
      <c r="Q24" s="140"/>
    </row>
    <row r="25" spans="1:17" s="36" customFormat="1" ht="12.75" customHeight="1">
      <c r="A25" s="145"/>
      <c r="B25" s="104" t="s">
        <v>56</v>
      </c>
      <c r="C25" s="140"/>
      <c r="D25" s="140"/>
      <c r="E25" s="108">
        <f>G25+F25</f>
        <v>0</v>
      </c>
      <c r="F25" s="108">
        <v>0</v>
      </c>
      <c r="G25" s="108">
        <v>0</v>
      </c>
      <c r="H25" s="140"/>
      <c r="I25" s="140"/>
      <c r="J25" s="140"/>
      <c r="K25" s="140"/>
      <c r="L25" s="140"/>
      <c r="M25" s="140"/>
      <c r="N25" s="140"/>
      <c r="O25" s="140"/>
      <c r="P25" s="140"/>
      <c r="Q25" s="140"/>
    </row>
    <row r="26" spans="1:17" ht="22.5">
      <c r="A26" s="147" t="s">
        <v>252</v>
      </c>
      <c r="B26" s="103" t="s">
        <v>249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</row>
    <row r="27" spans="1:17" ht="33.75">
      <c r="A27" s="147"/>
      <c r="B27" s="103" t="s">
        <v>250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</row>
    <row r="28" spans="1:17" ht="11.25">
      <c r="A28" s="147"/>
      <c r="B28" s="104" t="s">
        <v>91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17" ht="11.25">
      <c r="A29" s="147"/>
      <c r="B29" s="104" t="s">
        <v>92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</row>
    <row r="30" spans="1:17" ht="11.25">
      <c r="A30" s="147"/>
      <c r="B30" s="104" t="s">
        <v>93</v>
      </c>
      <c r="C30" s="107"/>
      <c r="D30" s="107"/>
      <c r="E30" s="107">
        <f>E31+E32+E33+E34</f>
        <v>2103</v>
      </c>
      <c r="F30" s="107">
        <f>F31+F32+F33+F34</f>
        <v>0</v>
      </c>
      <c r="G30" s="107">
        <f>G31+G32+G33+G34</f>
        <v>2103</v>
      </c>
      <c r="H30" s="107">
        <f>I30+M30</f>
        <v>2103</v>
      </c>
      <c r="I30" s="107">
        <f>J30+K30+L30</f>
        <v>0</v>
      </c>
      <c r="J30" s="107">
        <v>0</v>
      </c>
      <c r="K30" s="107">
        <v>0</v>
      </c>
      <c r="L30" s="107">
        <v>0</v>
      </c>
      <c r="M30" s="107">
        <f>Q30</f>
        <v>2103</v>
      </c>
      <c r="N30" s="107">
        <v>0</v>
      </c>
      <c r="O30" s="107">
        <v>0</v>
      </c>
      <c r="P30" s="107">
        <v>0</v>
      </c>
      <c r="Q30" s="107">
        <v>2103</v>
      </c>
    </row>
    <row r="31" spans="1:17" ht="11.25">
      <c r="A31" s="147"/>
      <c r="B31" s="104" t="s">
        <v>94</v>
      </c>
      <c r="C31" s="144"/>
      <c r="D31" s="144"/>
      <c r="E31" s="107">
        <v>0</v>
      </c>
      <c r="F31" s="107">
        <v>0</v>
      </c>
      <c r="G31" s="107">
        <v>0</v>
      </c>
      <c r="H31" s="144"/>
      <c r="I31" s="144"/>
      <c r="J31" s="144"/>
      <c r="K31" s="144"/>
      <c r="L31" s="144"/>
      <c r="M31" s="144"/>
      <c r="N31" s="144"/>
      <c r="O31" s="144"/>
      <c r="P31" s="144"/>
      <c r="Q31" s="144"/>
    </row>
    <row r="32" spans="1:17" ht="11.25">
      <c r="A32" s="147"/>
      <c r="B32" s="104" t="s">
        <v>67</v>
      </c>
      <c r="C32" s="144"/>
      <c r="D32" s="144"/>
      <c r="E32" s="107">
        <v>2103</v>
      </c>
      <c r="F32" s="107">
        <v>0</v>
      </c>
      <c r="G32" s="107">
        <v>2103</v>
      </c>
      <c r="H32" s="144"/>
      <c r="I32" s="144"/>
      <c r="J32" s="144"/>
      <c r="K32" s="144"/>
      <c r="L32" s="144"/>
      <c r="M32" s="144"/>
      <c r="N32" s="144"/>
      <c r="O32" s="144"/>
      <c r="P32" s="144"/>
      <c r="Q32" s="144"/>
    </row>
    <row r="33" spans="1:17" ht="11.25">
      <c r="A33" s="147"/>
      <c r="B33" s="104" t="s">
        <v>54</v>
      </c>
      <c r="C33" s="144"/>
      <c r="D33" s="144"/>
      <c r="E33" s="107">
        <v>0</v>
      </c>
      <c r="F33" s="107">
        <v>0</v>
      </c>
      <c r="G33" s="107">
        <v>0</v>
      </c>
      <c r="H33" s="144"/>
      <c r="I33" s="144"/>
      <c r="J33" s="144"/>
      <c r="K33" s="144"/>
      <c r="L33" s="144"/>
      <c r="M33" s="144"/>
      <c r="N33" s="144"/>
      <c r="O33" s="144"/>
      <c r="P33" s="144"/>
      <c r="Q33" s="144"/>
    </row>
    <row r="34" spans="1:17" ht="11.25">
      <c r="A34" s="147"/>
      <c r="B34" s="104" t="s">
        <v>56</v>
      </c>
      <c r="C34" s="144"/>
      <c r="D34" s="144"/>
      <c r="E34" s="107">
        <v>0</v>
      </c>
      <c r="F34" s="107">
        <v>0</v>
      </c>
      <c r="G34" s="107">
        <v>0</v>
      </c>
      <c r="H34" s="144"/>
      <c r="I34" s="144"/>
      <c r="J34" s="144"/>
      <c r="K34" s="144"/>
      <c r="L34" s="144"/>
      <c r="M34" s="144"/>
      <c r="N34" s="144"/>
      <c r="O34" s="144"/>
      <c r="P34" s="144"/>
      <c r="Q34" s="144"/>
    </row>
    <row r="35" spans="1:17" s="36" customFormat="1" ht="15" customHeight="1">
      <c r="A35" s="145" t="s">
        <v>96</v>
      </c>
      <c r="B35" s="145"/>
      <c r="C35" s="140" t="s">
        <v>43</v>
      </c>
      <c r="D35" s="140"/>
      <c r="E35" s="106">
        <f>E16</f>
        <v>5770</v>
      </c>
      <c r="F35" s="106">
        <f aca="true" t="shared" si="1" ref="F35:Q35">F16</f>
        <v>0</v>
      </c>
      <c r="G35" s="106">
        <f t="shared" si="1"/>
        <v>5770</v>
      </c>
      <c r="H35" s="106">
        <f t="shared" si="1"/>
        <v>5770</v>
      </c>
      <c r="I35" s="106">
        <f t="shared" si="1"/>
        <v>0</v>
      </c>
      <c r="J35" s="106">
        <f t="shared" si="1"/>
        <v>0</v>
      </c>
      <c r="K35" s="106">
        <f t="shared" si="1"/>
        <v>0</v>
      </c>
      <c r="L35" s="106">
        <f t="shared" si="1"/>
        <v>0</v>
      </c>
      <c r="M35" s="106">
        <f t="shared" si="1"/>
        <v>5770</v>
      </c>
      <c r="N35" s="106">
        <f t="shared" si="1"/>
        <v>0</v>
      </c>
      <c r="O35" s="106">
        <f t="shared" si="1"/>
        <v>0</v>
      </c>
      <c r="P35" s="106">
        <f t="shared" si="1"/>
        <v>0</v>
      </c>
      <c r="Q35" s="106">
        <f t="shared" si="1"/>
        <v>5770</v>
      </c>
    </row>
    <row r="37" spans="1:10" ht="11.25">
      <c r="A37" s="146" t="s">
        <v>97</v>
      </c>
      <c r="B37" s="146"/>
      <c r="C37" s="146"/>
      <c r="D37" s="146"/>
      <c r="E37" s="146"/>
      <c r="F37" s="146"/>
      <c r="G37" s="146"/>
      <c r="H37" s="146"/>
      <c r="I37" s="146"/>
      <c r="J37" s="146"/>
    </row>
    <row r="38" ht="11.25">
      <c r="A38" s="7" t="s">
        <v>109</v>
      </c>
    </row>
  </sheetData>
  <mergeCells count="53">
    <mergeCell ref="I22:I25"/>
    <mergeCell ref="H22:H25"/>
    <mergeCell ref="C22:C25"/>
    <mergeCell ref="D22:D25"/>
    <mergeCell ref="A17:A25"/>
    <mergeCell ref="C17:Q20"/>
    <mergeCell ref="Q22:Q25"/>
    <mergeCell ref="P22:P25"/>
    <mergeCell ref="O22:O25"/>
    <mergeCell ref="N22:N25"/>
    <mergeCell ref="M22:M25"/>
    <mergeCell ref="L22:L25"/>
    <mergeCell ref="K22:K25"/>
    <mergeCell ref="J22:J25"/>
    <mergeCell ref="A9:A14"/>
    <mergeCell ref="B9:B14"/>
    <mergeCell ref="A35:B35"/>
    <mergeCell ref="A37:J37"/>
    <mergeCell ref="A26:A34"/>
    <mergeCell ref="C9:C14"/>
    <mergeCell ref="D9:D14"/>
    <mergeCell ref="E9:E14"/>
    <mergeCell ref="F9:G9"/>
    <mergeCell ref="F10:F14"/>
    <mergeCell ref="M12:Q12"/>
    <mergeCell ref="H11:H14"/>
    <mergeCell ref="I12:L12"/>
    <mergeCell ref="I13:I14"/>
    <mergeCell ref="J13:L13"/>
    <mergeCell ref="P31:P34"/>
    <mergeCell ref="Q31:Q34"/>
    <mergeCell ref="M31:M34"/>
    <mergeCell ref="L31:L34"/>
    <mergeCell ref="C35:D35"/>
    <mergeCell ref="C26:Q29"/>
    <mergeCell ref="C31:C34"/>
    <mergeCell ref="D31:D34"/>
    <mergeCell ref="H31:H34"/>
    <mergeCell ref="I31:I34"/>
    <mergeCell ref="J31:J34"/>
    <mergeCell ref="K31:K34"/>
    <mergeCell ref="N31:N34"/>
    <mergeCell ref="O31:O34"/>
    <mergeCell ref="L1:Q2"/>
    <mergeCell ref="B4:P4"/>
    <mergeCell ref="C16:D16"/>
    <mergeCell ref="A7:Q7"/>
    <mergeCell ref="G10:G14"/>
    <mergeCell ref="N13:Q13"/>
    <mergeCell ref="M13:M14"/>
    <mergeCell ref="H9:Q9"/>
    <mergeCell ref="H10:Q10"/>
    <mergeCell ref="I11:Q11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2008-01-03T07:48:44Z</cp:lastPrinted>
  <dcterms:created xsi:type="dcterms:W3CDTF">1998-12-09T13:02:10Z</dcterms:created>
  <dcterms:modified xsi:type="dcterms:W3CDTF">2008-01-03T09:51:46Z</dcterms:modified>
  <cp:category/>
  <cp:version/>
  <cp:contentType/>
  <cp:contentStatus/>
</cp:coreProperties>
</file>