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tabRatio="729" activeTab="4"/>
  </bookViews>
  <sheets>
    <sheet name="3" sheetId="1" r:id="rId1"/>
    <sheet name="4" sheetId="2" r:id="rId2"/>
    <sheet name="5" sheetId="3" r:id="rId3"/>
    <sheet name="6" sheetId="4" r:id="rId4"/>
    <sheet name="7" sheetId="5" r:id="rId5"/>
    <sheet name="8" sheetId="6" r:id="rId6"/>
    <sheet name="9" sheetId="7" r:id="rId7"/>
    <sheet name="10" sheetId="8" r:id="rId8"/>
    <sheet name="11" sheetId="9" r:id="rId9"/>
  </sheets>
  <definedNames>
    <definedName name="_xlnm.Print_Titles" localSheetId="7">'10'!$9:$9</definedName>
    <definedName name="_xlnm.Print_Titles" localSheetId="0">'3'!$12:$12</definedName>
    <definedName name="_xlnm.Print_Titles" localSheetId="1">'4'!$13:$13</definedName>
    <definedName name="_xlnm.Print_Titles" localSheetId="2">'5'!$11:$11</definedName>
  </definedNames>
  <calcPr fullCalcOnLoad="1"/>
</workbook>
</file>

<file path=xl/sharedStrings.xml><?xml version="1.0" encoding="utf-8"?>
<sst xmlns="http://schemas.openxmlformats.org/spreadsheetml/2006/main" count="465" uniqueCount="234">
  <si>
    <t>Szkolenia pracowników niebędących członkami korpusu służby cywilnej                     § 4700</t>
  </si>
  <si>
    <t>Dochody i wydatki związane z realizacją zadań z zakresu administracji rządowej i innych zadań zleconych odrębnymi ustawami w 2009 r.</t>
  </si>
  <si>
    <t>A. 300 000 - Ministerstwo Sportu    
B. 0
C. 0
D. 0</t>
  </si>
  <si>
    <t>A. 300 000
B. 0
C. 0
D. 0</t>
  </si>
  <si>
    <t>Przebudowa drogi Zagość-Parcele</t>
  </si>
  <si>
    <t>Przebudowa drogi Młodzawy-Piaski</t>
  </si>
  <si>
    <t>Przebudowa drogi Marzęcin-Kostki</t>
  </si>
  <si>
    <t>Ewidencja dróg gminnych 2006-2009</t>
  </si>
  <si>
    <t>Przebudowa drogi "Grochowiska" 2009-2010</t>
  </si>
  <si>
    <t>Przebudowa drogi wraz z budową chodnika i parkingu na osiedlu Gacki 2007-2009</t>
  </si>
  <si>
    <t>Plan limitów wydatków na wieloletnie programy inwestycyjne w latach 2009 - 2011</t>
  </si>
  <si>
    <t>Zadania inwestycyjne roczne w 2009 r.</t>
  </si>
  <si>
    <t>Dotacje przedmiotowe w 2009 r.</t>
  </si>
  <si>
    <t>Rewitalizacja Śródmieścia Pińczowa</t>
  </si>
  <si>
    <t xml:space="preserve">A.      
B. 25 00 - Dotacja FOGR
C.
D. </t>
  </si>
  <si>
    <t xml:space="preserve">A.      
B. 25 000 - dotacja z FOGR
C. 629 - dotacja rozwojowa
D. </t>
  </si>
  <si>
    <t>Budowa hali widowiskowo-sportowej wraz z otwartą infrastrukturą sportowo-rekreacyjną w Pińczowie</t>
  </si>
  <si>
    <t>Plan dotacji podmiotowych w 2009 r.</t>
  </si>
  <si>
    <t>Dotacje celowe</t>
  </si>
  <si>
    <t>Zakup centrali telefonicznej w Urzędzie Miejskim</t>
  </si>
  <si>
    <t>Przebudowa ulicy Republiki Pińczowskiej w Pińczowie 2006-2010</t>
  </si>
  <si>
    <t>Budowa ulicy Grodziskowej wraz z łącznikiem do ul. Grunwaldzkiej w Pińczowie - projekt i wykonanie 2006-2009</t>
  </si>
  <si>
    <t>75421</t>
  </si>
  <si>
    <t>wskazana przez Świętokrzyski Urząd Wojewódzki</t>
  </si>
  <si>
    <t>Dotacja na usuwanie skutków powodzi poprzez zapewnienie wypoczynku dzieciom rodzin poszkodowanych</t>
  </si>
  <si>
    <t>Mieszkania socjalne 2007-2010</t>
  </si>
  <si>
    <t>Termomodernizacja Gimnazjum nr 1 i SP nr 2 w Pińczowie 2008-2010</t>
  </si>
  <si>
    <t xml:space="preserve">Zapobieganie chorobom i urazom lub inne programy zdrowotne oraz promocja zdrowia (badania diagnostyczne) </t>
  </si>
  <si>
    <t xml:space="preserve">Przebudowa i modernizacja Pińczowskiego Samorządowego Centrum Kultury w Pińczowie 2007-2011 </t>
  </si>
  <si>
    <t>e-świętorzyskie Rozbudowa Infrastruktury Informatycznej JST</t>
  </si>
  <si>
    <t>x</t>
  </si>
  <si>
    <t>Przyłącze światłowodowe: główny budynek urzędu - USC</t>
  </si>
  <si>
    <t>Dostawa i montaż wyposażenia biblioteki i świetlicy w bydynku nr 5 w Gackach</t>
  </si>
  <si>
    <t>Zakup Infokiosku wraz z oprogramowaniem</t>
  </si>
  <si>
    <t>Razem dział 853</t>
  </si>
  <si>
    <t>Miejsko-Gminny Ośrodek Pomocy Społecznej w Pińczowie</t>
  </si>
  <si>
    <t>Przebudowa chodnika na ul. Żwirki i Wigury w Pińczowie</t>
  </si>
  <si>
    <t>Kolektory słoneczne dla placówek samorządowych                           2009-2010</t>
  </si>
  <si>
    <t>Budowa przydomowych oczyszczalni ścieków w Gminie Pińczów 2008-2011</t>
  </si>
  <si>
    <t>Na zakup i montaż krzesełek stadionowych</t>
  </si>
  <si>
    <t>Remont chodnika w ciągu drogi wojewódzkiej Nr 767 Pińczów - Busko Zdrój na odcinku od Supermarketu Tesco do ulicy 7 Źródeł w miejscowości Pińczów</t>
  </si>
  <si>
    <t>Dotacja celowa na pomoc finansową udzielaną między jednostkami samorządu terytorialnego na dofinansowanie własnych zadań inwestycyjnych i zakupów inwestycyjnych  § 6300</t>
  </si>
  <si>
    <t>Wpływy z różnych dochodów § 0970</t>
  </si>
  <si>
    <t>Budowa ścieżki rowerowej przebiegającej przez tereny gmin: Busko-Zdrój, Wiślica i Pińczów - po śladach torów kolejowych - wspólna realizacja"</t>
  </si>
  <si>
    <t>Rozbudowa drogi wojewódzkiej Nr 766 relacji Morawica-Węchadłów na odcinku Brzeście - ulica Republiki Pińczowskiej w miejscowości Pińczów" 2007-2009</t>
  </si>
  <si>
    <t>Budowa sali sportowej ogólnodostepnej przy ul. Szkolnej w Pińczowie 2008-2010</t>
  </si>
  <si>
    <t>Przebudowa drogi w Młodzawach Małych</t>
  </si>
  <si>
    <t>Rozbudowa drogi wojewódzkiej Nr 766 relacji Morawica-Węchadłów na odcinku Brzeście - ulica Republiki Pińczowskiej w miejscowości Pińczów 2007-2009</t>
  </si>
  <si>
    <r>
      <t xml:space="preserve">Różne opłaty i składki </t>
    </r>
    <r>
      <rPr>
        <sz val="10"/>
        <rFont val="Arial"/>
        <family val="0"/>
      </rPr>
      <t>§</t>
    </r>
    <r>
      <rPr>
        <sz val="10"/>
        <rFont val="Arial CE"/>
        <family val="2"/>
      </rPr>
      <t xml:space="preserve"> 4430</t>
    </r>
  </si>
  <si>
    <t>Przebudowa ulic: 7 Źródeł i Grodziskowej w Pińczowie 2008-2010</t>
  </si>
  <si>
    <t>A. 802 091 - MSWiA "Schetynówka"
B. 0
C. 0
D. 0</t>
  </si>
  <si>
    <t>60014</t>
  </si>
  <si>
    <t>Województwo Świętokrzyskie</t>
  </si>
  <si>
    <t>Budowa chodnika w Bogucicach - projekt i wykonawstwo</t>
  </si>
  <si>
    <t>Remont dróg powiatowych 0064T Skrzypiów – Kozubów – Zawarża – Ciuślice,  nr 0068T Kozubów – Dzierążnia – Drożejowice, nr 0066T Kozubów – Sadek – Polichno tworzących ciąg dróg powiatowych Skrzypiów – Młodzawy – Kozubów</t>
  </si>
  <si>
    <t>Powiat Pińczowski</t>
  </si>
  <si>
    <t>A. 802 091
B. 0
C. 0
D. 0</t>
  </si>
  <si>
    <t>A. 1 102 091  
B. 0
C. 0
D. 0</t>
  </si>
  <si>
    <t>Centrum rekreacyjne- zagospodarowanie placu we wsi Mozgawa</t>
  </si>
  <si>
    <t>Chata Bogucka - remont i modernizacja świetlicy</t>
  </si>
  <si>
    <t xml:space="preserve">A.      
B.
C. 629 - dotacja rozwojowa
D. </t>
  </si>
  <si>
    <t>Doposażenie Zespołu Placówek Oświatowych - Publicznej Szkoły Podstawowej w Młodzawach w pomoce dydaktyczne</t>
  </si>
  <si>
    <t>Doposażenie Zespołu Placówek Oświatowych - Przedszkola w Gackach w pomoce dydaktyczne</t>
  </si>
  <si>
    <t>Budowa wodociągu w Zawarży - Gmina Pińczów</t>
  </si>
  <si>
    <t>Zagospodarowanie placu i wykonanie ogrodzenia w Skowronnie Dolnym</t>
  </si>
  <si>
    <t>Na wykonanie chodnika z kostki brukowej przy Przedszkolu Nr 3 w Pińczowie</t>
  </si>
  <si>
    <t>Przedszkole Nr 3 w Pińczowie</t>
  </si>
  <si>
    <t>Organizacja wolnego czasu i aktywizacja społeczna dzieci i młodzieży z Gminy Pińczów poprzez zajęcia modelarskie /propagujące zdrowy styl życia bez alkoholu, narkotyków i innych używek/:                                                     - prowadzenie zajęć modelarskich oraz nauka pilotażu i sterowania modelami na koputerowym symulatorze lotów                                                                                                                                  - udział w zawodach                                                                                                               - organizacja zawodów</t>
  </si>
  <si>
    <t>Organizacja wolnego czasu i aktywizacja społeczna dzieci i młodzieży z Gminy Pińczów poprzez zajęcia sportowe /propagujące zdrowy styl życia bez alkoholu, narkotyków i innych używek/:                                    - prowadzenie sekcji: piłki nożnej                                   - udział w turniejach, meczach i innych imprezach sportowych na terenie gminy, regionu i kraju                               -organizacja lokalnych imprez sportowych - np.: mecze</t>
  </si>
  <si>
    <t>Organizacja wolnego czasu i aktywizacja społeczna dzieci i młodzieży z Gminy Pińczów poprzez zajęcia sportowe /propagujące zdrowy styl życia bez alkoholu, narkotyków i innych używek/:                                    - prowadzenie zajęc nauki jazdy konnej</t>
  </si>
  <si>
    <t>Budowa chodnika w Bogucicach - projekt i wykonawstwo 2009-2010</t>
  </si>
  <si>
    <t>4.</t>
  </si>
  <si>
    <t>Dział</t>
  </si>
  <si>
    <t>Rozdział</t>
  </si>
  <si>
    <t>§</t>
  </si>
  <si>
    <t>w tym:</t>
  </si>
  <si>
    <t>1.</t>
  </si>
  <si>
    <t>2.</t>
  </si>
  <si>
    <t>3.</t>
  </si>
  <si>
    <t>Nazwa</t>
  </si>
  <si>
    <t>w tym źródła finansowania</t>
  </si>
  <si>
    <t>Wydatki bieżące</t>
  </si>
  <si>
    <t>Wydatki majątkowe</t>
  </si>
  <si>
    <t>Rozdz.</t>
  </si>
  <si>
    <t>w złotych</t>
  </si>
  <si>
    <t>Lp.</t>
  </si>
  <si>
    <t>Łączne nakłady finansowe</t>
  </si>
  <si>
    <t>Jednostka org. realizująca zadanie lub koordynująca program</t>
  </si>
  <si>
    <t xml:space="preserve">A.      
B.
C.
D. </t>
  </si>
  <si>
    <t>Planowane wydatki</t>
  </si>
  <si>
    <t>z tego:</t>
  </si>
  <si>
    <t>Dotacje</t>
  </si>
  <si>
    <t>Wydatki na na obsługę długu (odsetki)</t>
  </si>
  <si>
    <t>Wydatki
z tytułu poręczeń
i gwarancji</t>
  </si>
  <si>
    <t>dotacje</t>
  </si>
  <si>
    <t>Wydatki
bieżące</t>
  </si>
  <si>
    <t>Wydatki
majątkowe</t>
  </si>
  <si>
    <t>Wydatki
ogółem</t>
  </si>
  <si>
    <t>kredyty
i pożyczki</t>
  </si>
  <si>
    <t>środki wymienione
w art. 5 ust. 1 pkt 2 i 3 u.f.p.</t>
  </si>
  <si>
    <t>Nazwa zadania inwestycyjnego
i okres realizacji
(w latach)</t>
  </si>
  <si>
    <t>Ogółem</t>
  </si>
  <si>
    <t>dochody własne jst</t>
  </si>
  <si>
    <t>dotacje i środki pochodzące z innych  źr.*</t>
  </si>
  <si>
    <t>dotacje i środki pochodzące
z innych  źr.*</t>
  </si>
  <si>
    <t>Nazwa zadania inwestycyjnego</t>
  </si>
  <si>
    <t>2010 r.</t>
  </si>
  <si>
    <t>Plan przychodów i wydatków Gminnego Funduszu</t>
  </si>
  <si>
    <t>Ochrony Środowiska i Gospodarki Wodnej</t>
  </si>
  <si>
    <t>Wyszczególnienie</t>
  </si>
  <si>
    <t>I.</t>
  </si>
  <si>
    <t>Stan środków obrotowych na początek roku</t>
  </si>
  <si>
    <t>II.</t>
  </si>
  <si>
    <t>Przychody</t>
  </si>
  <si>
    <t>III.</t>
  </si>
  <si>
    <t>Wydatki</t>
  </si>
  <si>
    <t>IV.</t>
  </si>
  <si>
    <t>Stan środków obrotowych na koniec roku</t>
  </si>
  <si>
    <t>Nazwa zadania</t>
  </si>
  <si>
    <t>Dochody
ogółem</t>
  </si>
  <si>
    <t>wydatki na obsługę długu (odsetki)</t>
  </si>
  <si>
    <t>wydatki
z tytułu poręczeń
i gwarancji</t>
  </si>
  <si>
    <t>I. Dochody i wydatki związane z realizacją zadań realizowanych wspólnie z innymi jednostkami samorządu terytorialnego</t>
  </si>
  <si>
    <t>II. Dochody i wydatki związane z realizacją zadań przejętych przez Gminę do realizacji w drodze umowy lub porozumienia</t>
  </si>
  <si>
    <t>III. Dochody i wydatki związane z pomocą rzeczową lub finansową realizowaną na podstawie porozumień między j.s.t.</t>
  </si>
  <si>
    <t>ogółem</t>
  </si>
  <si>
    <t>w tym: dotacja
z budżetu</t>
  </si>
  <si>
    <t>Nazwa jednostki
 otrzymującej dotację</t>
  </si>
  <si>
    <t>Zakres</t>
  </si>
  <si>
    <t>Ogółem kwota dotacji</t>
  </si>
  <si>
    <t>Nazwa instytucji</t>
  </si>
  <si>
    <t>Kwota dotacji</t>
  </si>
  <si>
    <t>Jednostka otrzymująca dotację</t>
  </si>
  <si>
    <t>010</t>
  </si>
  <si>
    <t>01010</t>
  </si>
  <si>
    <t>600</t>
  </si>
  <si>
    <t>700</t>
  </si>
  <si>
    <t>754</t>
  </si>
  <si>
    <t>801</t>
  </si>
  <si>
    <t>80101</t>
  </si>
  <si>
    <t>01095</t>
  </si>
  <si>
    <t>60013</t>
  </si>
  <si>
    <t>70095</t>
  </si>
  <si>
    <t>80104</t>
  </si>
  <si>
    <t>900</t>
  </si>
  <si>
    <t>MOSiR</t>
  </si>
  <si>
    <t>A. 0    
B. 0
C. 0
D. 0</t>
  </si>
  <si>
    <t>Urząd Miejski w Pińczowie</t>
  </si>
  <si>
    <t>Razem dział 010</t>
  </si>
  <si>
    <t>X</t>
  </si>
  <si>
    <t>Partycypacja w kosztach przebudowy ulicy Bat. Chłopskich w Pińczowie 2006-2009</t>
  </si>
  <si>
    <t>Budowa ulicy Przemysłowej - projekt i wykonastwo 2006-2009</t>
  </si>
  <si>
    <t>Budowa ulicy (łącznika) od ul. Wiosennej do ul. Reduty Mławskiej w Pińczowie 2008-2009</t>
  </si>
  <si>
    <t>Razem dział 600</t>
  </si>
  <si>
    <t>Razem dział 700</t>
  </si>
  <si>
    <t>Razem dział 801</t>
  </si>
  <si>
    <t>Razem dział 900</t>
  </si>
  <si>
    <t>Rezem dział 926</t>
  </si>
  <si>
    <t>Budowa boisk sportowych przy Gimnazjum nr 1 w Pińczowie 2008-2010</t>
  </si>
  <si>
    <t>Przebudowa targowicy miejskiej przy ul. Republiki Pińczowskiej w Pińczowie 2007-2010</t>
  </si>
  <si>
    <t>Komputeryzacja Urzędu -projekt unijny</t>
  </si>
  <si>
    <t>Razem dział 750</t>
  </si>
  <si>
    <t>Zespół Ekonomiczno Administracyjny Szkół i Przedszkoli w Pińczowie</t>
  </si>
  <si>
    <t>Utrzymanie przedszkoli</t>
  </si>
  <si>
    <t>Miejski Ośrodek Sportu i Rekreacji w Pińczowie</t>
  </si>
  <si>
    <t>Utrzymanie terenów sportowych i pływalni miejskiej</t>
  </si>
  <si>
    <t>Świętokrzyskie Stowarzyszenie na Rzecz Aktywizacji Zawodowej i Pomocy Młodzieży - Niepubliczne Gimnazjum w Pińczowie</t>
  </si>
  <si>
    <t>Samodzielny Zakład Opieki Zdrowotnej w Pińczowie</t>
  </si>
  <si>
    <t>Pińczowskie Samorządowe Centrum Kultury               w Pińczowie</t>
  </si>
  <si>
    <t>Muzeum Regionalne w Pińczowie</t>
  </si>
  <si>
    <t>wyłoniona w drodze konkursu</t>
  </si>
  <si>
    <t>Grzywny, mandaty i inne kary pieniężne od osób fizycznych § 0570</t>
  </si>
  <si>
    <t>Grzywny i inne kary pieniężne od osób prawnych i innych jednostek organizacyjnych § 0580</t>
  </si>
  <si>
    <t>Wpływy z różnych opłat § 0690</t>
  </si>
  <si>
    <t>Pozostałe odsetki  § 0920</t>
  </si>
  <si>
    <t xml:space="preserve">Zakup materiałów i wyposażenia § 4210 </t>
  </si>
  <si>
    <t>Zakup usług pozostałych § 4300</t>
  </si>
  <si>
    <t>Wydatki inwestycyjne funduszy celowych § 6110</t>
  </si>
  <si>
    <t>Razem dział 751</t>
  </si>
  <si>
    <t>Razem dział 852</t>
  </si>
  <si>
    <t>Wykup gruntu</t>
  </si>
  <si>
    <t>Budowa ciągu pieszego tzw. Stoku - projekt i wykonawstwo 2006-2009</t>
  </si>
  <si>
    <t>2011 r.</t>
  </si>
  <si>
    <t>01009</t>
  </si>
  <si>
    <t>Upowszechnianie kultury i sportu wśród społeczności lokalnej Gminy Pińczów oraz promocja regionu na arenie krajowej i międzynarodowej</t>
  </si>
  <si>
    <t>Nagrody o charakterze szczególnym niezaliczone do wynagrodzeń § 3040</t>
  </si>
  <si>
    <t>Wynagro
dzenia i pochodne od wynagro
dzeń</t>
  </si>
  <si>
    <t>Pozostałe</t>
  </si>
  <si>
    <t>Plan przychodów i wydatków zakładów budżetowych na 2009 r.</t>
  </si>
  <si>
    <t xml:space="preserve">w tym: </t>
  </si>
  <si>
    <t>przedmiotowa</t>
  </si>
  <si>
    <t>celowa na inwestycje</t>
  </si>
  <si>
    <t>wpłata do budżetu</t>
  </si>
  <si>
    <t>wydatki majątkowe</t>
  </si>
  <si>
    <t>kwota netto</t>
  </si>
  <si>
    <t>VAT</t>
  </si>
  <si>
    <t>Przedszkola</t>
  </si>
  <si>
    <t>Kompleksowe zwodociągowanie Gminy Pińczów 2008-2009</t>
  </si>
  <si>
    <t>Przebudowa ulicy Polnej 2007-2009</t>
  </si>
  <si>
    <t>Razem dział 921</t>
  </si>
  <si>
    <t>Modernizacja Miejskiego Ośrodka Sportu i Rekreacji w Pińczowie 2008-2010</t>
  </si>
  <si>
    <t>wydatki poniesione do 31.12.2008 r.</t>
  </si>
  <si>
    <t>rok budżetowy 2009 (8+9+10+11)</t>
  </si>
  <si>
    <t>wydatki do poniesienia po 2011 roku</t>
  </si>
  <si>
    <t>Przebudowa drogi Borków-Chwałowice</t>
  </si>
  <si>
    <t>Przebudowa ul. Szarych Szeregów w Pińczowie</t>
  </si>
  <si>
    <t>Przebudowa drogi w Pasturce</t>
  </si>
  <si>
    <t>Remont pomieszczeń pod potrzeby biblioteki i świetlicy w budynku nr 5 w Gackach</t>
  </si>
  <si>
    <t>Przebudowa oświetlenia ulicznego wzdłuż ul. 3 Maja w Pińczowie</t>
  </si>
  <si>
    <t xml:space="preserve">A.      
B.
C. 
D. </t>
  </si>
  <si>
    <t>Przebudowa ul. 3 Maja w Pińczowie</t>
  </si>
  <si>
    <t>rok budżetowy 2009 (7+8+9+10)</t>
  </si>
  <si>
    <t>Przebudowa chodnika na ul. Szkolnej</t>
  </si>
  <si>
    <t>Środki na dofinansowanie Jednostki Realizującej Projekt</t>
  </si>
  <si>
    <t>Wodociągi Pińczowskie sp zoo</t>
  </si>
  <si>
    <t>Opracowanie dokumentacji projektowej i specyfikacji technicznych wykonania i odbioru robót budowlanych sieci kanalizacyjnej w aglomeracjach Pińczów i Gacki</t>
  </si>
  <si>
    <t>Dochody i wydatki związane z realizacją zadań realizowanych na podstawie porozumień (umów) między jednostkami samorządu terytorialnego w 2009 r.</t>
  </si>
  <si>
    <t>wynagrodzenia i pochodne od wynagrodzeń</t>
  </si>
  <si>
    <t>pozostałe</t>
  </si>
  <si>
    <t>Plan
na 2009 r.</t>
  </si>
  <si>
    <t>Plan na 2009 r.</t>
  </si>
  <si>
    <t>Zakup pomocy naukowych, dydaktycznych i książek § 4240</t>
  </si>
  <si>
    <t>Załącznik nr 3 do  Uchwały Nr XXXVIII/352/09 Rady Miejskiej w Pińczowie                                             z dnia 15 października 2009 r.                                                        w sprawie zmian w budżecie Gminy na rok 2009</t>
  </si>
  <si>
    <t xml:space="preserve">Załącznik nr 4 do  Uchwały Nr XXXVIII/352/09                                                                         Rady Miejskiej w Pińczowie                                                                                                           z dnia 15 października 2009 r.                                                                                                                                    w sprawie zmian w budżecie Gminy na rok 2009 </t>
  </si>
  <si>
    <t xml:space="preserve">Załącznik nr 5 do  Uchwały Nr XXXVIII/352/09                                                                          Rady Miejskiej w Pińczowie                                                                                                           z dnia 15 października 2009 r.                                                                                                                                      w sprawie zmian w budżecie Gminy na rok 2009 </t>
  </si>
  <si>
    <t xml:space="preserve">Załącznik nr 6 do  Uchwały Nr XXXVIII/352/09                                                                           Rady Miejskiej w Pińczowie                                                                                                           z dnia 15 października 2009 r.                                                                                                                                      w sprawie zmian w budżecie Gminy na rok 2009 </t>
  </si>
  <si>
    <t xml:space="preserve">Załącznik nr 7 do  Uchwały Nr XXXVIII/352/09                                                                          Rady Miejskiej w Pińczowie                                                                                                           z dnia 15 października 2009 r.                                                                                                                                       w sprawie zmian w budżecie Gminy na rok 2009    </t>
  </si>
  <si>
    <t>Załącznik nr 8 do Uchwały Nr XXXVIII/352/09                                                                                                  Rady Miejskiej w Pińczowie z dnia 15 października 2009 r.                                                                                                         w sprawie uchwalenia budżetu Gminy na rok 2009</t>
  </si>
  <si>
    <t>Załącznik nr 9 do  Uchwały Nr XXXVIII/352/09                                                                           Rady Miejskiej w Pińczowie                                                                                                           z dnia 15 października 2009 r.                                                                                                                                      w sprawie zmian w budżecie Gminy na rok 2009</t>
  </si>
  <si>
    <t xml:space="preserve">Załącznik nr 10 do  Uchwały Nr XXXVIII/352/09                                                                           Rady Miejskiej w Pińczowie                                                                                                           z dnia 15 października 2009 r.                                                                                                                                       w sprawie zmian w budżecie Gminy na rok 2009         </t>
  </si>
  <si>
    <t xml:space="preserve">Załącznik nr 11 do  Uchwały Nr XXXVIII/352/09                                                                           Rady Miejskiej w Pińczowie                                                                                                           z dnia 15 października 2009 r.                                                                                                                                      w sprawie zmian w budżecie Gminy na rok 2009   </t>
  </si>
  <si>
    <t>Przewodniczący</t>
  </si>
  <si>
    <t>Rady Miejskiej</t>
  </si>
  <si>
    <t>Marek OMASTA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</si>
</sst>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"/>
    <numFmt numFmtId="169" formatCode="#,##0.000"/>
    <numFmt numFmtId="170" formatCode="#,##0.0000"/>
    <numFmt numFmtId="171" formatCode="#,##0.00000"/>
  </numFmts>
  <fonts count="38">
    <font>
      <sz val="10"/>
      <name val="Arial CE"/>
      <family val="0"/>
    </font>
    <font>
      <sz val="6"/>
      <name val="Arial CE"/>
      <family val="2"/>
    </font>
    <font>
      <b/>
      <sz val="11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9"/>
      <name val="Arial CE"/>
      <family val="2"/>
    </font>
    <font>
      <sz val="8"/>
      <name val="Arial CE"/>
      <family val="2"/>
    </font>
    <font>
      <b/>
      <sz val="10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9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2"/>
      <name val="Arial CE"/>
      <family val="2"/>
    </font>
    <font>
      <b/>
      <sz val="13"/>
      <name val="Arial CE"/>
      <family val="2"/>
    </font>
    <font>
      <b/>
      <sz val="18"/>
      <name val="Arial CE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8"/>
      <name val="Arial CE"/>
      <family val="2"/>
    </font>
    <font>
      <sz val="10"/>
      <name val="Arial"/>
      <family val="0"/>
    </font>
    <font>
      <sz val="10"/>
      <color indexed="8"/>
      <name val="Arial CE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8" fillId="21" borderId="4" applyNumberFormat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3" fillId="20" borderId="1" applyNumberFormat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8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" borderId="0" applyNumberFormat="0" applyBorder="0" applyAlignment="0" applyProtection="0"/>
  </cellStyleXfs>
  <cellXfs count="142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4" fillId="2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8" fillId="2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4" fillId="20" borderId="10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29" fillId="0" borderId="0" xfId="0" applyFont="1" applyAlignment="1">
      <alignment horizontal="center" vertical="center"/>
    </xf>
    <xf numFmtId="0" fontId="29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" fontId="0" fillId="0" borderId="0" xfId="0" applyNumberFormat="1" applyAlignment="1">
      <alignment vertical="center"/>
    </xf>
    <xf numFmtId="0" fontId="0" fillId="0" borderId="11" xfId="0" applyBorder="1" applyAlignment="1">
      <alignment horizontal="left" vertical="center" indent="2"/>
    </xf>
    <xf numFmtId="0" fontId="6" fillId="0" borderId="0" xfId="0" applyFont="1" applyAlignment="1">
      <alignment horizontal="right" vertical="center"/>
    </xf>
    <xf numFmtId="0" fontId="0" fillId="0" borderId="10" xfId="0" applyFont="1" applyBorder="1" applyAlignment="1">
      <alignment vertic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vertical="center" wrapText="1"/>
    </xf>
    <xf numFmtId="0" fontId="0" fillId="0" borderId="10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/>
    </xf>
    <xf numFmtId="3" fontId="0" fillId="0" borderId="0" xfId="0" applyNumberFormat="1" applyAlignment="1">
      <alignment vertical="center"/>
    </xf>
    <xf numFmtId="0" fontId="32" fillId="0" borderId="10" xfId="0" applyFont="1" applyBorder="1" applyAlignment="1">
      <alignment horizontal="center" vertical="center"/>
    </xf>
    <xf numFmtId="49" fontId="32" fillId="0" borderId="10" xfId="0" applyNumberFormat="1" applyFont="1" applyBorder="1" applyAlignment="1">
      <alignment horizontal="center" vertical="center"/>
    </xf>
    <xf numFmtId="0" fontId="32" fillId="0" borderId="10" xfId="0" applyFont="1" applyFill="1" applyBorder="1" applyAlignment="1">
      <alignment horizontal="left" vertical="center" wrapText="1"/>
    </xf>
    <xf numFmtId="3" fontId="32" fillId="0" borderId="10" xfId="0" applyNumberFormat="1" applyFont="1" applyBorder="1" applyAlignment="1">
      <alignment horizontal="center" vertical="center"/>
    </xf>
    <xf numFmtId="0" fontId="32" fillId="0" borderId="10" xfId="0" applyFont="1" applyBorder="1" applyAlignment="1">
      <alignment vertical="center" wrapText="1"/>
    </xf>
    <xf numFmtId="0" fontId="32" fillId="0" borderId="10" xfId="0" applyFont="1" applyBorder="1" applyAlignment="1">
      <alignment horizontal="center" vertical="center" wrapText="1"/>
    </xf>
    <xf numFmtId="0" fontId="32" fillId="0" borderId="10" xfId="0" applyFont="1" applyBorder="1" applyAlignment="1">
      <alignment horizontal="left" vertical="center" wrapText="1"/>
    </xf>
    <xf numFmtId="3" fontId="33" fillId="0" borderId="10" xfId="0" applyNumberFormat="1" applyFont="1" applyBorder="1" applyAlignment="1">
      <alignment horizontal="center" vertical="center"/>
    </xf>
    <xf numFmtId="0" fontId="33" fillId="0" borderId="10" xfId="0" applyFont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center" vertical="center" wrapText="1"/>
    </xf>
    <xf numFmtId="3" fontId="32" fillId="0" borderId="10" xfId="0" applyNumberFormat="1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/>
    </xf>
    <xf numFmtId="3" fontId="34" fillId="0" borderId="10" xfId="0" applyNumberFormat="1" applyFont="1" applyBorder="1" applyAlignment="1">
      <alignment horizontal="center" vertical="center"/>
    </xf>
    <xf numFmtId="0" fontId="32" fillId="0" borderId="10" xfId="0" applyFont="1" applyBorder="1" applyAlignment="1">
      <alignment vertical="top" wrapText="1"/>
    </xf>
    <xf numFmtId="0" fontId="33" fillId="0" borderId="10" xfId="0" applyFont="1" applyBorder="1" applyAlignment="1">
      <alignment vertical="center" wrapText="1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3" fontId="33" fillId="0" borderId="10" xfId="0" applyNumberFormat="1" applyFont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vertical="center" wrapText="1"/>
    </xf>
    <xf numFmtId="3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 wrapText="1"/>
    </xf>
    <xf numFmtId="3" fontId="4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3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0" fillId="0" borderId="0" xfId="0" applyAlignment="1">
      <alignment horizontal="left" vertical="center" wrapText="1"/>
    </xf>
    <xf numFmtId="3" fontId="0" fillId="0" borderId="0" xfId="0" applyNumberFormat="1" applyAlignment="1">
      <alignment/>
    </xf>
    <xf numFmtId="0" fontId="4" fillId="20" borderId="12" xfId="0" applyFont="1" applyFill="1" applyBorder="1" applyAlignment="1">
      <alignment horizontal="center" vertical="center" wrapText="1"/>
    </xf>
    <xf numFmtId="1" fontId="0" fillId="0" borderId="11" xfId="0" applyNumberFormat="1" applyBorder="1" applyAlignment="1">
      <alignment horizontal="left" vertical="center" indent="2"/>
    </xf>
    <xf numFmtId="3" fontId="0" fillId="0" borderId="11" xfId="0" applyNumberFormat="1" applyBorder="1" applyAlignment="1">
      <alignment vertical="center"/>
    </xf>
    <xf numFmtId="3" fontId="4" fillId="0" borderId="10" xfId="0" applyNumberFormat="1" applyFont="1" applyBorder="1" applyAlignment="1">
      <alignment vertical="center"/>
    </xf>
    <xf numFmtId="3" fontId="0" fillId="0" borderId="10" xfId="0" applyNumberFormat="1" applyBorder="1" applyAlignment="1">
      <alignment horizontal="center" vertical="center"/>
    </xf>
    <xf numFmtId="3" fontId="2" fillId="0" borderId="10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1" fontId="0" fillId="0" borderId="10" xfId="0" applyNumberFormat="1" applyBorder="1" applyAlignment="1">
      <alignment horizontal="center" vertical="center"/>
    </xf>
    <xf numFmtId="3" fontId="0" fillId="0" borderId="10" xfId="0" applyNumberFormat="1" applyBorder="1" applyAlignment="1">
      <alignment horizontal="right" vertical="center"/>
    </xf>
    <xf numFmtId="4" fontId="0" fillId="0" borderId="10" xfId="0" applyNumberFormat="1" applyBorder="1" applyAlignment="1">
      <alignment vertical="center"/>
    </xf>
    <xf numFmtId="0" fontId="0" fillId="0" borderId="10" xfId="0" applyBorder="1" applyAlignment="1">
      <alignment horizontal="left" vertical="center" wrapText="1"/>
    </xf>
    <xf numFmtId="0" fontId="0" fillId="0" borderId="0" xfId="0" applyAlignment="1">
      <alignment horizontal="left" wrapText="1"/>
    </xf>
    <xf numFmtId="0" fontId="0" fillId="0" borderId="10" xfId="0" applyFont="1" applyBorder="1" applyAlignment="1">
      <alignment horizontal="center" vertical="center" wrapText="1"/>
    </xf>
    <xf numFmtId="0" fontId="32" fillId="0" borderId="10" xfId="0" applyFont="1" applyBorder="1" applyAlignment="1">
      <alignment horizontal="left" vertical="center"/>
    </xf>
    <xf numFmtId="0" fontId="0" fillId="0" borderId="0" xfId="0" applyFont="1" applyAlignment="1">
      <alignment/>
    </xf>
    <xf numFmtId="3" fontId="0" fillId="0" borderId="10" xfId="0" applyNumberFormat="1" applyFont="1" applyBorder="1" applyAlignment="1">
      <alignment horizontal="center"/>
    </xf>
    <xf numFmtId="49" fontId="0" fillId="0" borderId="10" xfId="0" applyNumberFormat="1" applyFont="1" applyBorder="1" applyAlignment="1">
      <alignment horizontal="right" vertical="center"/>
    </xf>
    <xf numFmtId="0" fontId="0" fillId="0" borderId="10" xfId="0" applyFont="1" applyBorder="1" applyAlignment="1">
      <alignment horizontal="right" vertical="center"/>
    </xf>
    <xf numFmtId="3" fontId="4" fillId="0" borderId="0" xfId="0" applyNumberFormat="1" applyFont="1" applyAlignment="1">
      <alignment/>
    </xf>
    <xf numFmtId="49" fontId="0" fillId="0" borderId="10" xfId="0" applyNumberFormat="1" applyBorder="1" applyAlignment="1">
      <alignment vertical="center" wrapText="1"/>
    </xf>
    <xf numFmtId="0" fontId="37" fillId="0" borderId="10" xfId="0" applyFont="1" applyBorder="1" applyAlignment="1">
      <alignment horizontal="center" vertical="center"/>
    </xf>
    <xf numFmtId="0" fontId="37" fillId="0" borderId="10" xfId="0" applyFont="1" applyBorder="1" applyAlignment="1">
      <alignment horizontal="left" vertical="center" wrapText="1"/>
    </xf>
    <xf numFmtId="3" fontId="37" fillId="0" borderId="10" xfId="0" applyNumberFormat="1" applyFont="1" applyBorder="1" applyAlignment="1">
      <alignment horizontal="center" vertical="center"/>
    </xf>
    <xf numFmtId="0" fontId="37" fillId="0" borderId="0" xfId="0" applyFont="1" applyAlignment="1">
      <alignment/>
    </xf>
    <xf numFmtId="0" fontId="37" fillId="0" borderId="10" xfId="0" applyFont="1" applyBorder="1" applyAlignment="1">
      <alignment vertical="center" wrapText="1"/>
    </xf>
    <xf numFmtId="0" fontId="37" fillId="0" borderId="10" xfId="0" applyFont="1" applyBorder="1" applyAlignment="1">
      <alignment horizontal="center" vertical="center" wrapText="1"/>
    </xf>
    <xf numFmtId="3" fontId="37" fillId="0" borderId="0" xfId="0" applyNumberFormat="1" applyFont="1" applyAlignment="1">
      <alignment/>
    </xf>
    <xf numFmtId="0" fontId="0" fillId="0" borderId="13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49" fontId="0" fillId="0" borderId="13" xfId="0" applyNumberFormat="1" applyBorder="1" applyAlignment="1">
      <alignment horizontal="left" vertical="center" wrapText="1"/>
    </xf>
    <xf numFmtId="49" fontId="0" fillId="0" borderId="12" xfId="0" applyNumberFormat="1" applyBorder="1" applyAlignment="1">
      <alignment horizontal="left" vertical="center" wrapText="1"/>
    </xf>
    <xf numFmtId="3" fontId="0" fillId="0" borderId="13" xfId="0" applyNumberFormat="1" applyBorder="1" applyAlignment="1">
      <alignment horizontal="center" vertical="center"/>
    </xf>
    <xf numFmtId="3" fontId="0" fillId="0" borderId="12" xfId="0" applyNumberFormat="1" applyBorder="1" applyAlignment="1">
      <alignment horizontal="center" vertical="center"/>
    </xf>
    <xf numFmtId="0" fontId="0" fillId="0" borderId="10" xfId="0" applyBorder="1" applyAlignment="1">
      <alignment vertical="center" wrapText="1"/>
    </xf>
    <xf numFmtId="0" fontId="4" fillId="20" borderId="14" xfId="0" applyFont="1" applyFill="1" applyBorder="1" applyAlignment="1">
      <alignment horizontal="center" vertical="center" wrapText="1"/>
    </xf>
    <xf numFmtId="0" fontId="4" fillId="20" borderId="15" xfId="0" applyFont="1" applyFill="1" applyBorder="1" applyAlignment="1">
      <alignment horizontal="center" vertical="center" wrapText="1"/>
    </xf>
    <xf numFmtId="0" fontId="4" fillId="20" borderId="16" xfId="0" applyFont="1" applyFill="1" applyBorder="1" applyAlignment="1">
      <alignment horizontal="center" vertical="center" wrapText="1"/>
    </xf>
    <xf numFmtId="1" fontId="4" fillId="20" borderId="10" xfId="0" applyNumberFormat="1" applyFont="1" applyFill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left" vertical="center"/>
    </xf>
    <xf numFmtId="0" fontId="33" fillId="0" borderId="10" xfId="0" applyFont="1" applyFill="1" applyBorder="1" applyAlignment="1">
      <alignment horizontal="center" vertical="center" wrapText="1"/>
    </xf>
    <xf numFmtId="0" fontId="11" fillId="2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 shrinkToFit="1"/>
    </xf>
    <xf numFmtId="0" fontId="3" fillId="0" borderId="0" xfId="0" applyFont="1" applyAlignment="1">
      <alignment horizontal="center" vertical="center" wrapText="1"/>
    </xf>
    <xf numFmtId="0" fontId="11" fillId="20" borderId="10" xfId="0" applyFont="1" applyFill="1" applyBorder="1" applyAlignment="1">
      <alignment horizontal="center" vertical="center"/>
    </xf>
    <xf numFmtId="0" fontId="33" fillId="0" borderId="10" xfId="0" applyFont="1" applyBorder="1" applyAlignment="1">
      <alignment horizontal="center" vertical="center"/>
    </xf>
    <xf numFmtId="0" fontId="33" fillId="0" borderId="14" xfId="0" applyFont="1" applyBorder="1" applyAlignment="1">
      <alignment horizontal="center" vertical="center"/>
    </xf>
    <xf numFmtId="0" fontId="33" fillId="0" borderId="15" xfId="0" applyFont="1" applyBorder="1" applyAlignment="1">
      <alignment horizontal="center" vertical="center"/>
    </xf>
    <xf numFmtId="0" fontId="33" fillId="0" borderId="16" xfId="0" applyFont="1" applyBorder="1" applyAlignment="1">
      <alignment horizontal="center" vertical="center"/>
    </xf>
    <xf numFmtId="0" fontId="4" fillId="20" borderId="10" xfId="0" applyFont="1" applyFill="1" applyBorder="1" applyAlignment="1">
      <alignment horizontal="center" vertical="center"/>
    </xf>
    <xf numFmtId="0" fontId="4" fillId="2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2" fillId="0" borderId="10" xfId="0" applyFont="1" applyBorder="1" applyAlignment="1">
      <alignment horizontal="center" vertical="center"/>
    </xf>
    <xf numFmtId="0" fontId="8" fillId="2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4" fillId="0" borderId="16" xfId="0" applyNumberFormat="1" applyFont="1" applyBorder="1" applyAlignment="1">
      <alignment horizontal="center" vertical="center"/>
    </xf>
    <xf numFmtId="0" fontId="0" fillId="0" borderId="0" xfId="0" applyAlignment="1">
      <alignment horizontal="left" wrapText="1"/>
    </xf>
    <xf numFmtId="0" fontId="5" fillId="0" borderId="0" xfId="0" applyFont="1" applyAlignment="1">
      <alignment horizontal="center" vertical="center" wrapText="1"/>
    </xf>
    <xf numFmtId="1" fontId="4" fillId="20" borderId="10" xfId="0" applyNumberFormat="1" applyFont="1" applyFill="1" applyBorder="1" applyAlignment="1">
      <alignment horizontal="center" vertical="center"/>
    </xf>
    <xf numFmtId="0" fontId="4" fillId="20" borderId="13" xfId="0" applyFont="1" applyFill="1" applyBorder="1" applyAlignment="1">
      <alignment horizontal="center" vertical="center" wrapText="1"/>
    </xf>
    <xf numFmtId="0" fontId="4" fillId="20" borderId="17" xfId="0" applyFont="1" applyFill="1" applyBorder="1" applyAlignment="1">
      <alignment horizontal="center" vertical="center" wrapText="1"/>
    </xf>
    <xf numFmtId="0" fontId="4" fillId="20" borderId="12" xfId="0" applyFont="1" applyFill="1" applyBorder="1" applyAlignment="1">
      <alignment horizontal="center" vertical="center" wrapText="1"/>
    </xf>
    <xf numFmtId="0" fontId="4" fillId="20" borderId="13" xfId="0" applyFont="1" applyFill="1" applyBorder="1" applyAlignment="1">
      <alignment horizontal="center" vertical="center"/>
    </xf>
    <xf numFmtId="0" fontId="4" fillId="20" borderId="17" xfId="0" applyFont="1" applyFill="1" applyBorder="1" applyAlignment="1">
      <alignment horizontal="center" vertical="center"/>
    </xf>
    <xf numFmtId="0" fontId="4" fillId="20" borderId="12" xfId="0" applyFont="1" applyFill="1" applyBorder="1" applyAlignment="1">
      <alignment horizontal="center" vertical="center"/>
    </xf>
    <xf numFmtId="0" fontId="4" fillId="20" borderId="18" xfId="0" applyFont="1" applyFill="1" applyBorder="1" applyAlignment="1">
      <alignment horizontal="center" vertical="center" wrapText="1"/>
    </xf>
    <xf numFmtId="0" fontId="4" fillId="20" borderId="19" xfId="0" applyFont="1" applyFill="1" applyBorder="1" applyAlignment="1">
      <alignment horizontal="center" vertical="center" wrapText="1"/>
    </xf>
    <xf numFmtId="0" fontId="4" fillId="20" borderId="20" xfId="0" applyFont="1" applyFill="1" applyBorder="1" applyAlignment="1">
      <alignment horizontal="center" vertical="center" wrapText="1"/>
    </xf>
    <xf numFmtId="0" fontId="35" fillId="20" borderId="13" xfId="0" applyFont="1" applyFill="1" applyBorder="1" applyAlignment="1">
      <alignment horizontal="center" vertical="center" wrapText="1"/>
    </xf>
    <xf numFmtId="0" fontId="35" fillId="20" borderId="12" xfId="0" applyFont="1" applyFill="1" applyBorder="1" applyAlignment="1">
      <alignment horizontal="center" vertical="center" wrapText="1"/>
    </xf>
    <xf numFmtId="0" fontId="30" fillId="0" borderId="0" xfId="0" applyFont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3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2"/>
  <sheetViews>
    <sheetView zoomScalePageLayoutView="0" workbookViewId="0" topLeftCell="E46">
      <selection activeCell="O54" sqref="O54"/>
    </sheetView>
  </sheetViews>
  <sheetFormatPr defaultColWidth="9.00390625" defaultRowHeight="12.75"/>
  <cols>
    <col min="1" max="1" width="5.625" style="1" customWidth="1"/>
    <col min="2" max="2" width="4.875" style="1" bestFit="1" customWidth="1"/>
    <col min="3" max="3" width="6.25390625" style="1" bestFit="1" customWidth="1"/>
    <col min="4" max="4" width="17.00390625" style="1" customWidth="1"/>
    <col min="5" max="5" width="14.625" style="1" customWidth="1"/>
    <col min="6" max="7" width="11.25390625" style="1" customWidth="1"/>
    <col min="8" max="8" width="12.375" style="1" customWidth="1"/>
    <col min="9" max="9" width="15.375" style="1" customWidth="1"/>
    <col min="10" max="10" width="14.25390625" style="1" customWidth="1"/>
    <col min="11" max="11" width="12.875" style="1" customWidth="1"/>
    <col min="12" max="12" width="11.25390625" style="1" customWidth="1"/>
    <col min="13" max="13" width="12.625" style="1" customWidth="1"/>
    <col min="14" max="14" width="10.25390625" style="1" customWidth="1"/>
    <col min="15" max="15" width="16.75390625" style="1" customWidth="1"/>
    <col min="16" max="16384" width="9.125" style="1" customWidth="1"/>
  </cols>
  <sheetData>
    <row r="1" spans="13:15" ht="12.75" customHeight="1">
      <c r="M1" s="104" t="s">
        <v>222</v>
      </c>
      <c r="N1" s="104"/>
      <c r="O1" s="104"/>
    </row>
    <row r="2" spans="13:15" ht="12.75">
      <c r="M2" s="104"/>
      <c r="N2" s="104"/>
      <c r="O2" s="104"/>
    </row>
    <row r="3" spans="13:15" ht="12.75">
      <c r="M3" s="104"/>
      <c r="N3" s="104"/>
      <c r="O3" s="104"/>
    </row>
    <row r="4" spans="13:15" ht="25.5" customHeight="1">
      <c r="M4" s="104"/>
      <c r="N4" s="104"/>
      <c r="O4" s="104"/>
    </row>
    <row r="5" spans="1:15" ht="18">
      <c r="A5" s="105" t="s">
        <v>10</v>
      </c>
      <c r="B5" s="105"/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</row>
    <row r="6" spans="1:15" ht="10.5" customHeigh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3" t="s">
        <v>84</v>
      </c>
    </row>
    <row r="7" spans="1:15" s="9" customFormat="1" ht="19.5" customHeight="1">
      <c r="A7" s="106" t="s">
        <v>85</v>
      </c>
      <c r="B7" s="106" t="s">
        <v>72</v>
      </c>
      <c r="C7" s="106" t="s">
        <v>83</v>
      </c>
      <c r="D7" s="103" t="s">
        <v>100</v>
      </c>
      <c r="E7" s="103" t="s">
        <v>86</v>
      </c>
      <c r="F7" s="103" t="s">
        <v>201</v>
      </c>
      <c r="G7" s="103" t="s">
        <v>89</v>
      </c>
      <c r="H7" s="103"/>
      <c r="I7" s="103"/>
      <c r="J7" s="103"/>
      <c r="K7" s="103"/>
      <c r="L7" s="103"/>
      <c r="M7" s="103"/>
      <c r="N7" s="103"/>
      <c r="O7" s="103" t="s">
        <v>87</v>
      </c>
    </row>
    <row r="8" spans="1:15" s="9" customFormat="1" ht="19.5" customHeight="1">
      <c r="A8" s="106"/>
      <c r="B8" s="106"/>
      <c r="C8" s="106"/>
      <c r="D8" s="103"/>
      <c r="E8" s="103"/>
      <c r="F8" s="103"/>
      <c r="G8" s="103" t="s">
        <v>202</v>
      </c>
      <c r="H8" s="103" t="s">
        <v>80</v>
      </c>
      <c r="I8" s="103"/>
      <c r="J8" s="103"/>
      <c r="K8" s="103"/>
      <c r="L8" s="103" t="s">
        <v>106</v>
      </c>
      <c r="M8" s="103" t="s">
        <v>182</v>
      </c>
      <c r="N8" s="103" t="s">
        <v>203</v>
      </c>
      <c r="O8" s="103"/>
    </row>
    <row r="9" spans="1:15" s="9" customFormat="1" ht="29.25" customHeight="1">
      <c r="A9" s="106"/>
      <c r="B9" s="106"/>
      <c r="C9" s="106"/>
      <c r="D9" s="103"/>
      <c r="E9" s="103"/>
      <c r="F9" s="103"/>
      <c r="G9" s="103"/>
      <c r="H9" s="103" t="s">
        <v>102</v>
      </c>
      <c r="I9" s="103" t="s">
        <v>98</v>
      </c>
      <c r="J9" s="103" t="s">
        <v>103</v>
      </c>
      <c r="K9" s="103" t="s">
        <v>99</v>
      </c>
      <c r="L9" s="103"/>
      <c r="M9" s="103"/>
      <c r="N9" s="103"/>
      <c r="O9" s="103"/>
    </row>
    <row r="10" spans="1:15" s="9" customFormat="1" ht="19.5" customHeight="1">
      <c r="A10" s="106"/>
      <c r="B10" s="106"/>
      <c r="C10" s="106"/>
      <c r="D10" s="103"/>
      <c r="E10" s="103"/>
      <c r="F10" s="103"/>
      <c r="G10" s="103"/>
      <c r="H10" s="103"/>
      <c r="I10" s="103"/>
      <c r="J10" s="103"/>
      <c r="K10" s="103"/>
      <c r="L10" s="103"/>
      <c r="M10" s="103"/>
      <c r="N10" s="103"/>
      <c r="O10" s="103"/>
    </row>
    <row r="11" spans="1:15" s="9" customFormat="1" ht="19.5" customHeight="1">
      <c r="A11" s="106"/>
      <c r="B11" s="106"/>
      <c r="C11" s="106"/>
      <c r="D11" s="103"/>
      <c r="E11" s="103"/>
      <c r="F11" s="103"/>
      <c r="G11" s="103"/>
      <c r="H11" s="103"/>
      <c r="I11" s="103"/>
      <c r="J11" s="103"/>
      <c r="K11" s="103"/>
      <c r="L11" s="103"/>
      <c r="M11" s="103"/>
      <c r="N11" s="103"/>
      <c r="O11" s="103"/>
    </row>
    <row r="12" spans="1:15" ht="7.5" customHeight="1">
      <c r="A12" s="6">
        <v>1</v>
      </c>
      <c r="B12" s="6">
        <v>2</v>
      </c>
      <c r="C12" s="6">
        <v>3</v>
      </c>
      <c r="D12" s="6">
        <v>4</v>
      </c>
      <c r="E12" s="6">
        <v>5</v>
      </c>
      <c r="F12" s="6">
        <v>6</v>
      </c>
      <c r="G12" s="6">
        <v>7</v>
      </c>
      <c r="H12" s="6">
        <v>8</v>
      </c>
      <c r="I12" s="6">
        <v>9</v>
      </c>
      <c r="J12" s="6">
        <v>10</v>
      </c>
      <c r="K12" s="6">
        <v>11</v>
      </c>
      <c r="L12" s="6">
        <v>12</v>
      </c>
      <c r="M12" s="6">
        <v>13</v>
      </c>
      <c r="N12" s="6">
        <v>14</v>
      </c>
      <c r="O12" s="6">
        <v>15</v>
      </c>
    </row>
    <row r="13" spans="1:15" ht="63.75">
      <c r="A13" s="33">
        <v>1</v>
      </c>
      <c r="B13" s="34" t="s">
        <v>133</v>
      </c>
      <c r="C13" s="34" t="s">
        <v>134</v>
      </c>
      <c r="D13" s="39" t="s">
        <v>38</v>
      </c>
      <c r="E13" s="36">
        <f>G13+L13+M13+N13+F13</f>
        <v>4959700</v>
      </c>
      <c r="F13" s="36">
        <v>456000</v>
      </c>
      <c r="G13" s="36">
        <f>H13+I13+K13</f>
        <v>453700</v>
      </c>
      <c r="H13" s="36">
        <f>100000+3700</f>
        <v>103700</v>
      </c>
      <c r="I13" s="36">
        <v>350000</v>
      </c>
      <c r="J13" s="37" t="s">
        <v>146</v>
      </c>
      <c r="K13" s="36">
        <v>0</v>
      </c>
      <c r="L13" s="36">
        <v>1000000</v>
      </c>
      <c r="M13" s="36">
        <v>3050000</v>
      </c>
      <c r="N13" s="36">
        <v>0</v>
      </c>
      <c r="O13" s="38" t="s">
        <v>147</v>
      </c>
    </row>
    <row r="14" spans="1:15" ht="54" customHeight="1">
      <c r="A14" s="33">
        <v>2</v>
      </c>
      <c r="B14" s="34" t="s">
        <v>133</v>
      </c>
      <c r="C14" s="34" t="s">
        <v>134</v>
      </c>
      <c r="D14" s="39" t="s">
        <v>197</v>
      </c>
      <c r="E14" s="36">
        <f aca="true" t="shared" si="0" ref="E14:E46">G14+L14+M14+N14+F14</f>
        <v>5457266</v>
      </c>
      <c r="F14" s="36">
        <v>1000000</v>
      </c>
      <c r="G14" s="36">
        <f>H14+I14+K14</f>
        <v>4457266</v>
      </c>
      <c r="H14" s="36">
        <f>1449228+100000-800000</f>
        <v>749228</v>
      </c>
      <c r="I14" s="36">
        <f>450772+800000+50000</f>
        <v>1300772</v>
      </c>
      <c r="J14" s="37" t="s">
        <v>146</v>
      </c>
      <c r="K14" s="36">
        <f>2500000-92734</f>
        <v>2407266</v>
      </c>
      <c r="L14" s="36">
        <v>0</v>
      </c>
      <c r="M14" s="36">
        <v>0</v>
      </c>
      <c r="N14" s="36">
        <v>0</v>
      </c>
      <c r="O14" s="38" t="s">
        <v>147</v>
      </c>
    </row>
    <row r="15" spans="1:15" ht="54" customHeight="1">
      <c r="A15" s="33">
        <v>3</v>
      </c>
      <c r="B15" s="34" t="s">
        <v>133</v>
      </c>
      <c r="C15" s="34" t="s">
        <v>134</v>
      </c>
      <c r="D15" s="39" t="s">
        <v>63</v>
      </c>
      <c r="E15" s="36">
        <f t="shared" si="0"/>
        <v>525000</v>
      </c>
      <c r="F15" s="36">
        <v>0</v>
      </c>
      <c r="G15" s="36">
        <v>25000</v>
      </c>
      <c r="H15" s="36">
        <v>25000</v>
      </c>
      <c r="I15" s="36">
        <v>0</v>
      </c>
      <c r="J15" s="37" t="s">
        <v>146</v>
      </c>
      <c r="K15" s="36">
        <v>0</v>
      </c>
      <c r="L15" s="36">
        <v>500000</v>
      </c>
      <c r="M15" s="36">
        <v>0</v>
      </c>
      <c r="N15" s="36">
        <v>0</v>
      </c>
      <c r="O15" s="38" t="s">
        <v>147</v>
      </c>
    </row>
    <row r="16" spans="1:15" ht="12.75">
      <c r="A16" s="102" t="s">
        <v>148</v>
      </c>
      <c r="B16" s="102"/>
      <c r="C16" s="102"/>
      <c r="D16" s="102"/>
      <c r="E16" s="40">
        <f>E14+E13+E15</f>
        <v>10941966</v>
      </c>
      <c r="F16" s="40">
        <f>F14+F13+F15</f>
        <v>1456000</v>
      </c>
      <c r="G16" s="40">
        <f>G14+G13+G15</f>
        <v>4935966</v>
      </c>
      <c r="H16" s="40">
        <f>H14+H13+H15</f>
        <v>877928</v>
      </c>
      <c r="I16" s="40">
        <f>I14+I13+I15</f>
        <v>1650772</v>
      </c>
      <c r="J16" s="40" t="s">
        <v>149</v>
      </c>
      <c r="K16" s="40">
        <f>K14+K13</f>
        <v>2407266</v>
      </c>
      <c r="L16" s="40">
        <f>L14+L13+L15</f>
        <v>1500000</v>
      </c>
      <c r="M16" s="40">
        <f>M14+M13+M15</f>
        <v>3050000</v>
      </c>
      <c r="N16" s="40">
        <f>N14+N13</f>
        <v>0</v>
      </c>
      <c r="O16" s="40" t="s">
        <v>149</v>
      </c>
    </row>
    <row r="17" spans="1:15" ht="63.75">
      <c r="A17" s="33">
        <v>4</v>
      </c>
      <c r="B17" s="34" t="s">
        <v>135</v>
      </c>
      <c r="C17" s="33">
        <v>60013</v>
      </c>
      <c r="D17" s="37" t="s">
        <v>150</v>
      </c>
      <c r="E17" s="36">
        <f t="shared" si="0"/>
        <v>26000</v>
      </c>
      <c r="F17" s="36">
        <v>0</v>
      </c>
      <c r="G17" s="36">
        <f>H17+I17+K17</f>
        <v>26000</v>
      </c>
      <c r="H17" s="36">
        <f>30000-4000</f>
        <v>26000</v>
      </c>
      <c r="I17" s="36">
        <v>0</v>
      </c>
      <c r="J17" s="37" t="s">
        <v>146</v>
      </c>
      <c r="K17" s="36">
        <v>0</v>
      </c>
      <c r="L17" s="36">
        <v>0</v>
      </c>
      <c r="M17" s="36">
        <v>0</v>
      </c>
      <c r="N17" s="36">
        <v>0</v>
      </c>
      <c r="O17" s="38" t="s">
        <v>147</v>
      </c>
    </row>
    <row r="18" spans="1:15" ht="114.75">
      <c r="A18" s="33">
        <v>5</v>
      </c>
      <c r="B18" s="34" t="s">
        <v>135</v>
      </c>
      <c r="C18" s="33">
        <v>60013</v>
      </c>
      <c r="D18" s="37" t="s">
        <v>44</v>
      </c>
      <c r="E18" s="36">
        <f t="shared" si="0"/>
        <v>296000</v>
      </c>
      <c r="F18" s="36">
        <v>100000</v>
      </c>
      <c r="G18" s="36">
        <f aca="true" t="shared" si="1" ref="G18:G29">H18+I18+K18</f>
        <v>196000</v>
      </c>
      <c r="H18" s="36">
        <f>20000+26000</f>
        <v>46000</v>
      </c>
      <c r="I18" s="36">
        <v>150000</v>
      </c>
      <c r="J18" s="37" t="s">
        <v>146</v>
      </c>
      <c r="K18" s="36">
        <v>0</v>
      </c>
      <c r="L18" s="36">
        <v>0</v>
      </c>
      <c r="M18" s="36">
        <v>0</v>
      </c>
      <c r="N18" s="36">
        <v>0</v>
      </c>
      <c r="O18" s="38" t="s">
        <v>147</v>
      </c>
    </row>
    <row r="19" spans="1:15" ht="51">
      <c r="A19" s="33">
        <v>6</v>
      </c>
      <c r="B19" s="34" t="s">
        <v>135</v>
      </c>
      <c r="C19" s="33">
        <v>60013</v>
      </c>
      <c r="D19" s="37" t="s">
        <v>70</v>
      </c>
      <c r="E19" s="36">
        <f>G19+L19+M19+N19+F19</f>
        <v>306000</v>
      </c>
      <c r="F19" s="36">
        <v>0</v>
      </c>
      <c r="G19" s="36">
        <f>H19+I19+K19</f>
        <v>6000</v>
      </c>
      <c r="H19" s="36">
        <v>6000</v>
      </c>
      <c r="I19" s="36">
        <v>0</v>
      </c>
      <c r="J19" s="37" t="s">
        <v>146</v>
      </c>
      <c r="K19" s="36">
        <v>0</v>
      </c>
      <c r="L19" s="36">
        <v>300000</v>
      </c>
      <c r="M19" s="36">
        <v>0</v>
      </c>
      <c r="N19" s="36">
        <v>0</v>
      </c>
      <c r="O19" s="38" t="s">
        <v>147</v>
      </c>
    </row>
    <row r="20" spans="1:15" ht="51">
      <c r="A20" s="33">
        <v>7</v>
      </c>
      <c r="B20" s="34" t="s">
        <v>135</v>
      </c>
      <c r="C20" s="33">
        <v>60016</v>
      </c>
      <c r="D20" s="37" t="s">
        <v>7</v>
      </c>
      <c r="E20" s="36">
        <f t="shared" si="0"/>
        <v>194256</v>
      </c>
      <c r="F20" s="36">
        <f>94256+50000</f>
        <v>144256</v>
      </c>
      <c r="G20" s="36">
        <f t="shared" si="1"/>
        <v>50000</v>
      </c>
      <c r="H20" s="36">
        <v>50000</v>
      </c>
      <c r="I20" s="36">
        <v>0</v>
      </c>
      <c r="J20" s="37" t="s">
        <v>146</v>
      </c>
      <c r="K20" s="36">
        <v>0</v>
      </c>
      <c r="L20" s="36">
        <v>0</v>
      </c>
      <c r="M20" s="36">
        <v>0</v>
      </c>
      <c r="N20" s="36">
        <v>0</v>
      </c>
      <c r="O20" s="38" t="s">
        <v>147</v>
      </c>
    </row>
    <row r="21" spans="1:15" ht="63.75">
      <c r="A21" s="33">
        <v>8</v>
      </c>
      <c r="B21" s="34" t="s">
        <v>135</v>
      </c>
      <c r="C21" s="33">
        <v>60016</v>
      </c>
      <c r="D21" s="37" t="s">
        <v>181</v>
      </c>
      <c r="E21" s="36">
        <f t="shared" si="0"/>
        <v>1623594</v>
      </c>
      <c r="F21" s="36">
        <f>34894+988700</f>
        <v>1023594</v>
      </c>
      <c r="G21" s="36">
        <f t="shared" si="1"/>
        <v>600000</v>
      </c>
      <c r="H21" s="36">
        <f>100000-50000</f>
        <v>50000</v>
      </c>
      <c r="I21" s="36">
        <f>500000+50000</f>
        <v>550000</v>
      </c>
      <c r="J21" s="37" t="s">
        <v>146</v>
      </c>
      <c r="K21" s="36">
        <v>0</v>
      </c>
      <c r="L21" s="36">
        <v>0</v>
      </c>
      <c r="M21" s="36">
        <v>0</v>
      </c>
      <c r="N21" s="36">
        <v>0</v>
      </c>
      <c r="O21" s="38" t="s">
        <v>147</v>
      </c>
    </row>
    <row r="22" spans="1:15" ht="51">
      <c r="A22" s="33">
        <v>9</v>
      </c>
      <c r="B22" s="34" t="s">
        <v>135</v>
      </c>
      <c r="C22" s="33">
        <v>60016</v>
      </c>
      <c r="D22" s="37" t="s">
        <v>20</v>
      </c>
      <c r="E22" s="36">
        <f t="shared" si="0"/>
        <v>5150000</v>
      </c>
      <c r="F22" s="36">
        <v>80000</v>
      </c>
      <c r="G22" s="36">
        <f t="shared" si="1"/>
        <v>1350000</v>
      </c>
      <c r="H22" s="36">
        <v>0</v>
      </c>
      <c r="I22" s="36">
        <v>0</v>
      </c>
      <c r="J22" s="37" t="s">
        <v>146</v>
      </c>
      <c r="K22" s="36">
        <v>1350000</v>
      </c>
      <c r="L22" s="36">
        <f>3520000+200000</f>
        <v>3720000</v>
      </c>
      <c r="M22" s="36">
        <v>0</v>
      </c>
      <c r="N22" s="36">
        <v>0</v>
      </c>
      <c r="O22" s="38" t="s">
        <v>147</v>
      </c>
    </row>
    <row r="23" spans="1:15" ht="89.25">
      <c r="A23" s="33">
        <v>10</v>
      </c>
      <c r="B23" s="34" t="s">
        <v>135</v>
      </c>
      <c r="C23" s="33">
        <v>60016</v>
      </c>
      <c r="D23" s="37" t="s">
        <v>21</v>
      </c>
      <c r="E23" s="36">
        <f t="shared" si="0"/>
        <v>2022081</v>
      </c>
      <c r="F23" s="36">
        <v>206000</v>
      </c>
      <c r="G23" s="36">
        <f>H23+I23+K23+1000000+47000-244909</f>
        <v>1816081</v>
      </c>
      <c r="H23" s="36">
        <f>500000-250000-6010+95000-200000+20000</f>
        <v>158990</v>
      </c>
      <c r="I23" s="36">
        <f>500000+100000+55000+200000</f>
        <v>855000</v>
      </c>
      <c r="J23" s="37" t="s">
        <v>50</v>
      </c>
      <c r="K23" s="36">
        <v>0</v>
      </c>
      <c r="L23" s="36">
        <v>0</v>
      </c>
      <c r="M23" s="36">
        <v>0</v>
      </c>
      <c r="N23" s="36">
        <v>0</v>
      </c>
      <c r="O23" s="38" t="s">
        <v>147</v>
      </c>
    </row>
    <row r="24" spans="1:15" ht="63.75">
      <c r="A24" s="33">
        <v>11</v>
      </c>
      <c r="B24" s="42">
        <v>600</v>
      </c>
      <c r="C24" s="42">
        <v>60016</v>
      </c>
      <c r="D24" s="35" t="s">
        <v>151</v>
      </c>
      <c r="E24" s="36">
        <f t="shared" si="0"/>
        <v>490219</v>
      </c>
      <c r="F24" s="36">
        <f>100219+340000</f>
        <v>440219</v>
      </c>
      <c r="G24" s="36">
        <f t="shared" si="1"/>
        <v>50000</v>
      </c>
      <c r="H24" s="36">
        <v>50000</v>
      </c>
      <c r="I24" s="36">
        <v>0</v>
      </c>
      <c r="J24" s="37" t="s">
        <v>146</v>
      </c>
      <c r="K24" s="36">
        <v>0</v>
      </c>
      <c r="L24" s="36">
        <v>0</v>
      </c>
      <c r="M24" s="36">
        <v>0</v>
      </c>
      <c r="N24" s="36">
        <v>0</v>
      </c>
      <c r="O24" s="38" t="s">
        <v>147</v>
      </c>
    </row>
    <row r="25" spans="1:15" ht="63.75">
      <c r="A25" s="33">
        <v>12</v>
      </c>
      <c r="B25" s="42">
        <v>600</v>
      </c>
      <c r="C25" s="42">
        <v>60016</v>
      </c>
      <c r="D25" s="35" t="s">
        <v>152</v>
      </c>
      <c r="E25" s="36">
        <f t="shared" si="0"/>
        <v>128700</v>
      </c>
      <c r="F25" s="36">
        <v>10000</v>
      </c>
      <c r="G25" s="36">
        <f t="shared" si="1"/>
        <v>118700</v>
      </c>
      <c r="H25" s="36">
        <f>20000-1300</f>
        <v>18700</v>
      </c>
      <c r="I25" s="36">
        <v>100000</v>
      </c>
      <c r="J25" s="37" t="s">
        <v>146</v>
      </c>
      <c r="K25" s="36">
        <v>0</v>
      </c>
      <c r="L25" s="36">
        <v>0</v>
      </c>
      <c r="M25" s="36">
        <v>0</v>
      </c>
      <c r="N25" s="36">
        <v>0</v>
      </c>
      <c r="O25" s="38" t="s">
        <v>147</v>
      </c>
    </row>
    <row r="26" spans="1:15" ht="63.75">
      <c r="A26" s="33">
        <v>13</v>
      </c>
      <c r="B26" s="42">
        <v>600</v>
      </c>
      <c r="C26" s="42">
        <v>60016</v>
      </c>
      <c r="D26" s="35" t="s">
        <v>9</v>
      </c>
      <c r="E26" s="36">
        <f t="shared" si="0"/>
        <v>288000</v>
      </c>
      <c r="F26" s="36">
        <v>5000</v>
      </c>
      <c r="G26" s="36">
        <f t="shared" si="1"/>
        <v>220000</v>
      </c>
      <c r="H26" s="36">
        <f>20000+112000-100000-12000</f>
        <v>20000</v>
      </c>
      <c r="I26" s="36">
        <f>100000+100000</f>
        <v>200000</v>
      </c>
      <c r="J26" s="37" t="s">
        <v>146</v>
      </c>
      <c r="K26" s="36">
        <v>0</v>
      </c>
      <c r="L26" s="36">
        <v>63000</v>
      </c>
      <c r="M26" s="36">
        <v>0</v>
      </c>
      <c r="N26" s="36">
        <v>0</v>
      </c>
      <c r="O26" s="38" t="s">
        <v>147</v>
      </c>
    </row>
    <row r="27" spans="1:15" ht="37.5" customHeight="1">
      <c r="A27" s="33">
        <v>14</v>
      </c>
      <c r="B27" s="42">
        <v>600</v>
      </c>
      <c r="C27" s="42">
        <v>60016</v>
      </c>
      <c r="D27" s="35" t="s">
        <v>198</v>
      </c>
      <c r="E27" s="36">
        <f t="shared" si="0"/>
        <v>855100</v>
      </c>
      <c r="F27" s="36">
        <v>380000</v>
      </c>
      <c r="G27" s="36">
        <f t="shared" si="1"/>
        <v>475100</v>
      </c>
      <c r="H27" s="36">
        <v>30000</v>
      </c>
      <c r="I27" s="36">
        <f>500000-54900</f>
        <v>445100</v>
      </c>
      <c r="J27" s="37" t="s">
        <v>146</v>
      </c>
      <c r="K27" s="36">
        <v>0</v>
      </c>
      <c r="L27" s="36">
        <v>0</v>
      </c>
      <c r="M27" s="36">
        <v>0</v>
      </c>
      <c r="N27" s="36">
        <v>0</v>
      </c>
      <c r="O27" s="38" t="s">
        <v>147</v>
      </c>
    </row>
    <row r="28" spans="1:15" ht="37.5" customHeight="1">
      <c r="A28" s="33">
        <v>15</v>
      </c>
      <c r="B28" s="42">
        <v>600</v>
      </c>
      <c r="C28" s="42">
        <v>60016</v>
      </c>
      <c r="D28" s="35" t="s">
        <v>8</v>
      </c>
      <c r="E28" s="36">
        <f t="shared" si="0"/>
        <v>1200000</v>
      </c>
      <c r="F28" s="36">
        <v>0</v>
      </c>
      <c r="G28" s="36">
        <f t="shared" si="1"/>
        <v>0</v>
      </c>
      <c r="H28" s="36">
        <f>20000-20000</f>
        <v>0</v>
      </c>
      <c r="I28" s="36">
        <v>0</v>
      </c>
      <c r="J28" s="37" t="s">
        <v>146</v>
      </c>
      <c r="K28" s="36">
        <v>0</v>
      </c>
      <c r="L28" s="36">
        <v>1200000</v>
      </c>
      <c r="M28" s="36">
        <v>0</v>
      </c>
      <c r="N28" s="36">
        <v>0</v>
      </c>
      <c r="O28" s="38" t="s">
        <v>147</v>
      </c>
    </row>
    <row r="29" spans="1:15" ht="51">
      <c r="A29" s="33">
        <v>16</v>
      </c>
      <c r="B29" s="42">
        <v>600</v>
      </c>
      <c r="C29" s="42">
        <v>60016</v>
      </c>
      <c r="D29" s="35" t="s">
        <v>49</v>
      </c>
      <c r="E29" s="36">
        <f t="shared" si="0"/>
        <v>4064000</v>
      </c>
      <c r="F29" s="36">
        <v>0</v>
      </c>
      <c r="G29" s="36">
        <f t="shared" si="1"/>
        <v>64000</v>
      </c>
      <c r="H29" s="36">
        <f>50000-36000</f>
        <v>14000</v>
      </c>
      <c r="I29" s="36">
        <f>250000-150000-50000</f>
        <v>50000</v>
      </c>
      <c r="J29" s="37" t="s">
        <v>146</v>
      </c>
      <c r="K29" s="36">
        <v>0</v>
      </c>
      <c r="L29" s="36">
        <f>680000+150000+3170000</f>
        <v>4000000</v>
      </c>
      <c r="M29" s="36">
        <v>0</v>
      </c>
      <c r="N29" s="36">
        <v>0</v>
      </c>
      <c r="O29" s="38" t="s">
        <v>147</v>
      </c>
    </row>
    <row r="30" spans="1:15" s="48" customFormat="1" ht="64.5" customHeight="1">
      <c r="A30" s="100" t="s">
        <v>153</v>
      </c>
      <c r="B30" s="100"/>
      <c r="C30" s="100"/>
      <c r="D30" s="100"/>
      <c r="E30" s="40">
        <f>SUM(E17:E29)</f>
        <v>16643950</v>
      </c>
      <c r="F30" s="40">
        <f>SUM(F17:F29)</f>
        <v>2389069</v>
      </c>
      <c r="G30" s="40">
        <f>SUM(G17:G29)</f>
        <v>4971881</v>
      </c>
      <c r="H30" s="40">
        <f>SUM(H17:H29)</f>
        <v>469690</v>
      </c>
      <c r="I30" s="40">
        <f>SUM(I17:I29)</f>
        <v>2350100</v>
      </c>
      <c r="J30" s="47" t="s">
        <v>56</v>
      </c>
      <c r="K30" s="40">
        <f>K23+K22</f>
        <v>1350000</v>
      </c>
      <c r="L30" s="40">
        <f>SUM(L17:L29)</f>
        <v>9283000</v>
      </c>
      <c r="M30" s="40">
        <v>0</v>
      </c>
      <c r="N30" s="40">
        <v>0</v>
      </c>
      <c r="O30" s="41" t="s">
        <v>149</v>
      </c>
    </row>
    <row r="31" spans="1:15" ht="51">
      <c r="A31" s="33">
        <v>17</v>
      </c>
      <c r="B31" s="33">
        <v>700</v>
      </c>
      <c r="C31" s="33">
        <v>70095</v>
      </c>
      <c r="D31" s="35" t="s">
        <v>25</v>
      </c>
      <c r="E31" s="36">
        <f t="shared" si="0"/>
        <v>581000</v>
      </c>
      <c r="F31" s="36">
        <v>21000</v>
      </c>
      <c r="G31" s="36">
        <f>70000-10000</f>
        <v>60000</v>
      </c>
      <c r="H31" s="36">
        <f>40000-10000</f>
        <v>30000</v>
      </c>
      <c r="I31" s="36">
        <v>30000</v>
      </c>
      <c r="J31" s="37" t="s">
        <v>146</v>
      </c>
      <c r="K31" s="36">
        <v>0</v>
      </c>
      <c r="L31" s="36">
        <v>500000</v>
      </c>
      <c r="M31" s="36">
        <v>0</v>
      </c>
      <c r="N31" s="36">
        <v>0</v>
      </c>
      <c r="O31" s="38" t="s">
        <v>147</v>
      </c>
    </row>
    <row r="32" spans="1:15" s="48" customFormat="1" ht="35.25" customHeight="1">
      <c r="A32" s="100" t="s">
        <v>154</v>
      </c>
      <c r="B32" s="100"/>
      <c r="C32" s="100"/>
      <c r="D32" s="100"/>
      <c r="E32" s="40">
        <f>E31</f>
        <v>581000</v>
      </c>
      <c r="F32" s="40">
        <f>F31</f>
        <v>21000</v>
      </c>
      <c r="G32" s="40">
        <f>G31</f>
        <v>60000</v>
      </c>
      <c r="H32" s="40">
        <f>H31</f>
        <v>30000</v>
      </c>
      <c r="I32" s="40">
        <f>I31</f>
        <v>30000</v>
      </c>
      <c r="J32" s="40" t="s">
        <v>149</v>
      </c>
      <c r="K32" s="40">
        <f>K31</f>
        <v>0</v>
      </c>
      <c r="L32" s="40">
        <f>L31</f>
        <v>500000</v>
      </c>
      <c r="M32" s="40">
        <f>M31</f>
        <v>0</v>
      </c>
      <c r="N32" s="40">
        <f>N31</f>
        <v>0</v>
      </c>
      <c r="O32" s="40" t="s">
        <v>149</v>
      </c>
    </row>
    <row r="33" spans="1:15" s="48" customFormat="1" ht="57" customHeight="1">
      <c r="A33" s="38">
        <v>18</v>
      </c>
      <c r="B33" s="38">
        <v>750</v>
      </c>
      <c r="C33" s="38">
        <v>75023</v>
      </c>
      <c r="D33" s="39" t="s">
        <v>29</v>
      </c>
      <c r="E33" s="36">
        <f>G33+L33+M33+N33+F33</f>
        <v>26955</v>
      </c>
      <c r="F33" s="36">
        <v>0</v>
      </c>
      <c r="G33" s="36">
        <f>H33+I33+K33</f>
        <v>26520</v>
      </c>
      <c r="H33" s="36">
        <f>59000-32480</f>
        <v>26520</v>
      </c>
      <c r="I33" s="36">
        <v>0</v>
      </c>
      <c r="J33" s="37" t="s">
        <v>146</v>
      </c>
      <c r="K33" s="36">
        <v>0</v>
      </c>
      <c r="L33" s="36">
        <v>435</v>
      </c>
      <c r="M33" s="36">
        <v>0</v>
      </c>
      <c r="N33" s="36">
        <v>0</v>
      </c>
      <c r="O33" s="38" t="s">
        <v>147</v>
      </c>
    </row>
    <row r="34" spans="1:15" s="48" customFormat="1" ht="35.25" customHeight="1">
      <c r="A34" s="100" t="s">
        <v>161</v>
      </c>
      <c r="B34" s="100"/>
      <c r="C34" s="100"/>
      <c r="D34" s="100"/>
      <c r="E34" s="40">
        <f>E33</f>
        <v>26955</v>
      </c>
      <c r="F34" s="40">
        <f>F33</f>
        <v>0</v>
      </c>
      <c r="G34" s="40">
        <f>G33</f>
        <v>26520</v>
      </c>
      <c r="H34" s="40">
        <f>H33</f>
        <v>26520</v>
      </c>
      <c r="I34" s="40">
        <f>I33</f>
        <v>0</v>
      </c>
      <c r="J34" s="40" t="s">
        <v>149</v>
      </c>
      <c r="K34" s="40">
        <f>K33</f>
        <v>0</v>
      </c>
      <c r="L34" s="40">
        <f>L33</f>
        <v>435</v>
      </c>
      <c r="M34" s="40">
        <f>M33</f>
        <v>0</v>
      </c>
      <c r="N34" s="40">
        <f>N33</f>
        <v>0</v>
      </c>
      <c r="O34" s="40" t="s">
        <v>30</v>
      </c>
    </row>
    <row r="35" spans="1:15" ht="63.75">
      <c r="A35" s="38">
        <v>19</v>
      </c>
      <c r="B35" s="38">
        <v>801</v>
      </c>
      <c r="C35" s="38">
        <v>80101</v>
      </c>
      <c r="D35" s="39" t="s">
        <v>45</v>
      </c>
      <c r="E35" s="36">
        <f>G35+L35+M35+N35+F35</f>
        <v>5128000</v>
      </c>
      <c r="F35" s="36">
        <v>20000</v>
      </c>
      <c r="G35" s="36">
        <f>H35+I35</f>
        <v>78000</v>
      </c>
      <c r="H35" s="36">
        <f>10000+8000</f>
        <v>18000</v>
      </c>
      <c r="I35" s="36">
        <f>90000-30000</f>
        <v>60000</v>
      </c>
      <c r="J35" s="37" t="s">
        <v>146</v>
      </c>
      <c r="K35" s="36">
        <v>0</v>
      </c>
      <c r="L35" s="36">
        <f>5000000+30000</f>
        <v>5030000</v>
      </c>
      <c r="M35" s="36">
        <v>0</v>
      </c>
      <c r="N35" s="36">
        <v>0</v>
      </c>
      <c r="O35" s="38" t="s">
        <v>147</v>
      </c>
    </row>
    <row r="36" spans="1:15" ht="76.5">
      <c r="A36" s="38">
        <v>20</v>
      </c>
      <c r="B36" s="38">
        <v>801</v>
      </c>
      <c r="C36" s="38">
        <v>80110</v>
      </c>
      <c r="D36" s="39" t="s">
        <v>158</v>
      </c>
      <c r="E36" s="36">
        <f t="shared" si="0"/>
        <v>602001</v>
      </c>
      <c r="F36" s="36">
        <v>1000</v>
      </c>
      <c r="G36" s="36">
        <f>600000-228999-70000</f>
        <v>301001</v>
      </c>
      <c r="H36" s="36">
        <v>1001</v>
      </c>
      <c r="I36" s="36">
        <v>0</v>
      </c>
      <c r="J36" s="37" t="s">
        <v>2</v>
      </c>
      <c r="K36" s="36">
        <v>0</v>
      </c>
      <c r="L36" s="36">
        <v>300000</v>
      </c>
      <c r="M36" s="36">
        <v>0</v>
      </c>
      <c r="N36" s="36">
        <v>0</v>
      </c>
      <c r="O36" s="38" t="s">
        <v>147</v>
      </c>
    </row>
    <row r="37" spans="1:15" ht="51">
      <c r="A37" s="100" t="s">
        <v>155</v>
      </c>
      <c r="B37" s="100"/>
      <c r="C37" s="100"/>
      <c r="D37" s="100"/>
      <c r="E37" s="40">
        <f>E36+E35</f>
        <v>5730001</v>
      </c>
      <c r="F37" s="40">
        <f>F36+F35</f>
        <v>21000</v>
      </c>
      <c r="G37" s="40">
        <f>G36+G35</f>
        <v>379001</v>
      </c>
      <c r="H37" s="40">
        <f>H36+H35</f>
        <v>19001</v>
      </c>
      <c r="I37" s="40">
        <f>I36+I35</f>
        <v>60000</v>
      </c>
      <c r="J37" s="47" t="s">
        <v>3</v>
      </c>
      <c r="K37" s="40">
        <f>K36+K35</f>
        <v>0</v>
      </c>
      <c r="L37" s="40">
        <f>L36+L35</f>
        <v>5330000</v>
      </c>
      <c r="M37" s="40">
        <f>M36+M35</f>
        <v>0</v>
      </c>
      <c r="N37" s="40">
        <f>N36+N35</f>
        <v>0</v>
      </c>
      <c r="O37" s="40" t="s">
        <v>149</v>
      </c>
    </row>
    <row r="38" spans="1:15" s="49" customFormat="1" ht="51">
      <c r="A38" s="38">
        <v>21</v>
      </c>
      <c r="B38" s="38">
        <v>900</v>
      </c>
      <c r="C38" s="38">
        <v>90005</v>
      </c>
      <c r="D38" s="39" t="s">
        <v>37</v>
      </c>
      <c r="E38" s="36">
        <f t="shared" si="0"/>
        <v>300000</v>
      </c>
      <c r="F38" s="36">
        <v>0</v>
      </c>
      <c r="G38" s="36">
        <f>H38</f>
        <v>0</v>
      </c>
      <c r="H38" s="36">
        <f>10000-10000</f>
        <v>0</v>
      </c>
      <c r="I38" s="36">
        <v>0</v>
      </c>
      <c r="J38" s="37" t="s">
        <v>146</v>
      </c>
      <c r="K38" s="36">
        <v>0</v>
      </c>
      <c r="L38" s="36">
        <v>300000</v>
      </c>
      <c r="M38" s="36">
        <v>0</v>
      </c>
      <c r="N38" s="36">
        <v>0</v>
      </c>
      <c r="O38" s="38" t="s">
        <v>147</v>
      </c>
    </row>
    <row r="39" spans="1:15" ht="60.75" customHeight="1">
      <c r="A39" s="33">
        <v>22</v>
      </c>
      <c r="B39" s="34" t="s">
        <v>144</v>
      </c>
      <c r="C39" s="33">
        <v>90095</v>
      </c>
      <c r="D39" s="35" t="s">
        <v>26</v>
      </c>
      <c r="E39" s="36">
        <f t="shared" si="0"/>
        <v>1401000</v>
      </c>
      <c r="F39" s="36">
        <v>1000</v>
      </c>
      <c r="G39" s="36">
        <v>0</v>
      </c>
      <c r="H39" s="36">
        <f>G39</f>
        <v>0</v>
      </c>
      <c r="I39" s="36">
        <v>0</v>
      </c>
      <c r="J39" s="37" t="s">
        <v>146</v>
      </c>
      <c r="K39" s="36">
        <v>0</v>
      </c>
      <c r="L39" s="36">
        <v>1400000</v>
      </c>
      <c r="M39" s="36">
        <v>0</v>
      </c>
      <c r="N39" s="36">
        <v>0</v>
      </c>
      <c r="O39" s="38" t="s">
        <v>147</v>
      </c>
    </row>
    <row r="40" spans="1:15" ht="63.75">
      <c r="A40" s="33">
        <v>23</v>
      </c>
      <c r="B40" s="34" t="s">
        <v>144</v>
      </c>
      <c r="C40" s="33">
        <v>90095</v>
      </c>
      <c r="D40" s="35" t="s">
        <v>159</v>
      </c>
      <c r="E40" s="36">
        <f t="shared" si="0"/>
        <v>3380000</v>
      </c>
      <c r="F40" s="36">
        <v>80000</v>
      </c>
      <c r="G40" s="36">
        <v>800000</v>
      </c>
      <c r="H40" s="36">
        <v>50000</v>
      </c>
      <c r="I40" s="36">
        <v>750000</v>
      </c>
      <c r="J40" s="37" t="s">
        <v>146</v>
      </c>
      <c r="K40" s="36">
        <v>0</v>
      </c>
      <c r="L40" s="36">
        <v>2500000</v>
      </c>
      <c r="M40" s="36">
        <v>0</v>
      </c>
      <c r="N40" s="36">
        <v>0</v>
      </c>
      <c r="O40" s="38" t="s">
        <v>147</v>
      </c>
    </row>
    <row r="41" spans="1:15" s="48" customFormat="1" ht="51">
      <c r="A41" s="100" t="s">
        <v>156</v>
      </c>
      <c r="B41" s="100"/>
      <c r="C41" s="100"/>
      <c r="D41" s="100"/>
      <c r="E41" s="40">
        <f>E40+E39+E38</f>
        <v>5081000</v>
      </c>
      <c r="F41" s="40">
        <f>F40+F39+F38</f>
        <v>81000</v>
      </c>
      <c r="G41" s="40">
        <f>G40+G39+G38</f>
        <v>800000</v>
      </c>
      <c r="H41" s="40">
        <f>H40+H39+H38</f>
        <v>50000</v>
      </c>
      <c r="I41" s="40">
        <f>I40+I39+I38</f>
        <v>750000</v>
      </c>
      <c r="J41" s="47" t="s">
        <v>146</v>
      </c>
      <c r="K41" s="40">
        <f>K40+K39</f>
        <v>0</v>
      </c>
      <c r="L41" s="40">
        <f>L40+L39+L38</f>
        <v>4200000</v>
      </c>
      <c r="M41" s="40">
        <f>M40+M39</f>
        <v>0</v>
      </c>
      <c r="N41" s="40">
        <f>N40+N39</f>
        <v>0</v>
      </c>
      <c r="O41" s="44" t="s">
        <v>149</v>
      </c>
    </row>
    <row r="42" spans="1:15" s="49" customFormat="1" ht="63.75">
      <c r="A42" s="38">
        <v>24</v>
      </c>
      <c r="B42" s="38">
        <v>921</v>
      </c>
      <c r="C42" s="38">
        <v>92109</v>
      </c>
      <c r="D42" s="39" t="s">
        <v>32</v>
      </c>
      <c r="E42" s="36">
        <f>F42+G42+L42+N42+M42</f>
        <v>30000</v>
      </c>
      <c r="F42" s="36">
        <v>0</v>
      </c>
      <c r="G42" s="36">
        <f>H42+I42</f>
        <v>1000</v>
      </c>
      <c r="H42" s="36">
        <v>1000</v>
      </c>
      <c r="I42" s="36">
        <v>0</v>
      </c>
      <c r="J42" s="37" t="s">
        <v>146</v>
      </c>
      <c r="K42" s="36">
        <v>0</v>
      </c>
      <c r="L42" s="36">
        <v>29000</v>
      </c>
      <c r="M42" s="36">
        <v>0</v>
      </c>
      <c r="N42" s="36">
        <v>0</v>
      </c>
      <c r="O42" s="38" t="s">
        <v>147</v>
      </c>
    </row>
    <row r="43" spans="1:15" ht="76.5">
      <c r="A43" s="38">
        <v>25</v>
      </c>
      <c r="B43" s="38">
        <v>921</v>
      </c>
      <c r="C43" s="38">
        <v>92120</v>
      </c>
      <c r="D43" s="39" t="s">
        <v>28</v>
      </c>
      <c r="E43" s="36">
        <f>F43+G43+L43+N43+M43</f>
        <v>5328500</v>
      </c>
      <c r="F43" s="36">
        <f>30500+108000</f>
        <v>138500</v>
      </c>
      <c r="G43" s="36">
        <f>H43+I43</f>
        <v>90000</v>
      </c>
      <c r="H43" s="36">
        <f>50000-10000</f>
        <v>40000</v>
      </c>
      <c r="I43" s="36">
        <v>50000</v>
      </c>
      <c r="J43" s="37" t="s">
        <v>146</v>
      </c>
      <c r="K43" s="36">
        <v>0</v>
      </c>
      <c r="L43" s="36">
        <f>2000000+100000</f>
        <v>2100000</v>
      </c>
      <c r="M43" s="36">
        <v>3000000</v>
      </c>
      <c r="N43" s="36">
        <v>0</v>
      </c>
      <c r="O43" s="38" t="s">
        <v>147</v>
      </c>
    </row>
    <row r="44" spans="1:15" ht="51">
      <c r="A44" s="100" t="s">
        <v>199</v>
      </c>
      <c r="B44" s="100"/>
      <c r="C44" s="100"/>
      <c r="D44" s="100"/>
      <c r="E44" s="40">
        <f>E43+E42</f>
        <v>5358500</v>
      </c>
      <c r="F44" s="40">
        <f>F43+F42</f>
        <v>138500</v>
      </c>
      <c r="G44" s="40">
        <f>G43+G42</f>
        <v>91000</v>
      </c>
      <c r="H44" s="40">
        <f>H43+H42</f>
        <v>41000</v>
      </c>
      <c r="I44" s="40">
        <f>I43+I42</f>
        <v>50000</v>
      </c>
      <c r="J44" s="37" t="s">
        <v>146</v>
      </c>
      <c r="K44" s="40">
        <f>K43</f>
        <v>0</v>
      </c>
      <c r="L44" s="40">
        <f>L43+L42</f>
        <v>2129000</v>
      </c>
      <c r="M44" s="40">
        <f>M43</f>
        <v>3000000</v>
      </c>
      <c r="N44" s="40">
        <f>N43</f>
        <v>0</v>
      </c>
      <c r="O44" s="40" t="s">
        <v>149</v>
      </c>
    </row>
    <row r="45" spans="1:15" ht="102">
      <c r="A45" s="38">
        <v>26</v>
      </c>
      <c r="B45" s="39">
        <v>926</v>
      </c>
      <c r="C45" s="39">
        <v>92601</v>
      </c>
      <c r="D45" s="39" t="s">
        <v>16</v>
      </c>
      <c r="E45" s="36">
        <f t="shared" si="0"/>
        <v>2326000</v>
      </c>
      <c r="F45" s="36">
        <v>0</v>
      </c>
      <c r="G45" s="36">
        <v>0</v>
      </c>
      <c r="H45" s="36">
        <v>0</v>
      </c>
      <c r="I45" s="36">
        <v>0</v>
      </c>
      <c r="J45" s="37" t="s">
        <v>146</v>
      </c>
      <c r="K45" s="36">
        <v>0</v>
      </c>
      <c r="L45" s="36">
        <v>1563423</v>
      </c>
      <c r="M45" s="36">
        <v>762577</v>
      </c>
      <c r="N45" s="36">
        <v>0</v>
      </c>
      <c r="O45" s="38" t="s">
        <v>147</v>
      </c>
    </row>
    <row r="46" spans="1:15" ht="51">
      <c r="A46" s="38">
        <v>27</v>
      </c>
      <c r="B46" s="39">
        <v>926</v>
      </c>
      <c r="C46" s="39">
        <v>92604</v>
      </c>
      <c r="D46" s="39" t="s">
        <v>200</v>
      </c>
      <c r="E46" s="36">
        <f t="shared" si="0"/>
        <v>6270293</v>
      </c>
      <c r="F46" s="36">
        <v>40293</v>
      </c>
      <c r="G46" s="36">
        <f>H46+I46</f>
        <v>130000</v>
      </c>
      <c r="H46" s="36">
        <v>130000</v>
      </c>
      <c r="I46" s="36">
        <v>0</v>
      </c>
      <c r="J46" s="37" t="s">
        <v>146</v>
      </c>
      <c r="K46" s="36">
        <v>0</v>
      </c>
      <c r="L46" s="36">
        <v>6100000</v>
      </c>
      <c r="M46" s="36">
        <v>0</v>
      </c>
      <c r="N46" s="36">
        <v>0</v>
      </c>
      <c r="O46" s="38" t="s">
        <v>147</v>
      </c>
    </row>
    <row r="47" spans="1:15" ht="12.75">
      <c r="A47" s="100" t="s">
        <v>157</v>
      </c>
      <c r="B47" s="100"/>
      <c r="C47" s="100"/>
      <c r="D47" s="100"/>
      <c r="E47" s="40">
        <f>E45+E46</f>
        <v>8596293</v>
      </c>
      <c r="F47" s="40">
        <f>F45+F46</f>
        <v>40293</v>
      </c>
      <c r="G47" s="40">
        <f>G45+G46</f>
        <v>130000</v>
      </c>
      <c r="H47" s="40">
        <f>H45+H46</f>
        <v>130000</v>
      </c>
      <c r="I47" s="40">
        <f>I45+I46</f>
        <v>0</v>
      </c>
      <c r="J47" s="40" t="s">
        <v>149</v>
      </c>
      <c r="K47" s="40">
        <f>K45+K46</f>
        <v>0</v>
      </c>
      <c r="L47" s="40">
        <f>L45+L46</f>
        <v>7663423</v>
      </c>
      <c r="M47" s="40">
        <f>M45+M46</f>
        <v>762577</v>
      </c>
      <c r="N47" s="40">
        <f>N45+N46</f>
        <v>0</v>
      </c>
      <c r="O47" s="44" t="s">
        <v>149</v>
      </c>
    </row>
    <row r="48" spans="1:15" ht="51">
      <c r="A48" s="101" t="s">
        <v>101</v>
      </c>
      <c r="B48" s="101"/>
      <c r="C48" s="101"/>
      <c r="D48" s="101"/>
      <c r="E48" s="45">
        <f>E47+E41+E37+E32+E30+E16+E44+E34</f>
        <v>52959665</v>
      </c>
      <c r="F48" s="45">
        <f>F47+F41+F37+F32+F30+F16+F44+F34</f>
        <v>4146862</v>
      </c>
      <c r="G48" s="45">
        <f>G47+G41+G37+G32+G30+G16+G44+G34</f>
        <v>11394368</v>
      </c>
      <c r="H48" s="45">
        <f>H47+H41+H37+H32+H30+H16+H44+H34</f>
        <v>1644139</v>
      </c>
      <c r="I48" s="45">
        <f>I47+I41+I37+I32+I30+I16+I44+I34</f>
        <v>4890872</v>
      </c>
      <c r="J48" s="47" t="s">
        <v>57</v>
      </c>
      <c r="K48" s="45">
        <f>K47+K41+K37+K32+K30+K16+K44+K34</f>
        <v>3757266</v>
      </c>
      <c r="L48" s="45">
        <f>L47+L41+L37+L32+L30+L16+L44+L34</f>
        <v>30605858</v>
      </c>
      <c r="M48" s="45">
        <f>M47+M41+M37+M32+M30+M16+M44+M34</f>
        <v>6812577</v>
      </c>
      <c r="N48" s="45">
        <f>N47+N41+N37+N32+N30+N16+N44+N34</f>
        <v>0</v>
      </c>
      <c r="O48" s="45" t="s">
        <v>149</v>
      </c>
    </row>
    <row r="49" spans="5:9" ht="12.75">
      <c r="E49" s="32"/>
      <c r="F49" s="32"/>
      <c r="G49" s="32"/>
      <c r="H49" s="32"/>
      <c r="I49" s="32"/>
    </row>
    <row r="50" spans="5:9" ht="12.75">
      <c r="E50" s="32"/>
      <c r="F50" s="32"/>
      <c r="G50" s="32"/>
      <c r="H50" s="32"/>
      <c r="I50" s="32"/>
    </row>
    <row r="51" spans="5:15" ht="12.75">
      <c r="E51" s="32"/>
      <c r="G51" s="32"/>
      <c r="H51" s="32"/>
      <c r="I51" s="32"/>
      <c r="O51" s="1" t="s">
        <v>231</v>
      </c>
    </row>
    <row r="52" spans="7:15" ht="12.75">
      <c r="G52" s="32"/>
      <c r="H52" s="32"/>
      <c r="I52" s="32"/>
      <c r="O52" s="1" t="s">
        <v>232</v>
      </c>
    </row>
    <row r="53" spans="5:13" ht="12.75">
      <c r="E53" s="32"/>
      <c r="F53" s="32"/>
      <c r="G53" s="32"/>
      <c r="H53" s="32"/>
      <c r="I53" s="32"/>
      <c r="J53" s="32"/>
      <c r="K53" s="32"/>
      <c r="L53" s="32"/>
      <c r="M53" s="32"/>
    </row>
    <row r="54" spans="5:15" ht="12.75">
      <c r="E54" s="32"/>
      <c r="G54" s="32"/>
      <c r="H54" s="32"/>
      <c r="L54" s="32"/>
      <c r="O54" s="1" t="s">
        <v>233</v>
      </c>
    </row>
    <row r="55" spans="7:8" ht="12.75">
      <c r="G55" s="32"/>
      <c r="H55" s="32"/>
    </row>
    <row r="56" spans="5:7" ht="12.75">
      <c r="E56" s="32"/>
      <c r="G56" s="32"/>
    </row>
    <row r="57" spans="5:9" ht="12.75">
      <c r="E57" s="32"/>
      <c r="G57" s="32"/>
      <c r="I57" s="32"/>
    </row>
    <row r="58" spans="5:7" ht="12.75">
      <c r="E58" s="32"/>
      <c r="G58" s="32"/>
    </row>
    <row r="59" spans="5:7" ht="12.75">
      <c r="E59" s="32"/>
      <c r="G59" s="32"/>
    </row>
    <row r="60" ht="12.75">
      <c r="E60" s="32"/>
    </row>
    <row r="61" ht="12.75">
      <c r="G61" s="32"/>
    </row>
    <row r="62" ht="12.75">
      <c r="G62" s="32"/>
    </row>
  </sheetData>
  <sheetProtection/>
  <mergeCells count="28">
    <mergeCell ref="M1:O4"/>
    <mergeCell ref="F7:F11"/>
    <mergeCell ref="A5:O5"/>
    <mergeCell ref="A7:A11"/>
    <mergeCell ref="B7:B11"/>
    <mergeCell ref="C7:C11"/>
    <mergeCell ref="D7:D11"/>
    <mergeCell ref="O7:O11"/>
    <mergeCell ref="G8:G11"/>
    <mergeCell ref="E7:E11"/>
    <mergeCell ref="M8:M11"/>
    <mergeCell ref="G7:N7"/>
    <mergeCell ref="L8:L11"/>
    <mergeCell ref="H8:K8"/>
    <mergeCell ref="H9:H11"/>
    <mergeCell ref="I9:I11"/>
    <mergeCell ref="J9:J11"/>
    <mergeCell ref="K9:K11"/>
    <mergeCell ref="N8:N11"/>
    <mergeCell ref="A37:D37"/>
    <mergeCell ref="A30:D30"/>
    <mergeCell ref="A32:D32"/>
    <mergeCell ref="A16:D16"/>
    <mergeCell ref="A34:D34"/>
    <mergeCell ref="A41:D41"/>
    <mergeCell ref="A44:D44"/>
    <mergeCell ref="A47:D47"/>
    <mergeCell ref="A48:D48"/>
  </mergeCells>
  <printOptions horizontalCentered="1"/>
  <pageMargins left="0.5" right="0.3937007874015748" top="0.61" bottom="0.34" header="0.5118110236220472" footer="0.24"/>
  <pageSetup fitToHeight="4" fitToWidth="1" horizontalDpi="600" verticalDpi="6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8"/>
  <sheetViews>
    <sheetView zoomScalePageLayoutView="0" workbookViewId="0" topLeftCell="A34">
      <selection activeCell="J45" sqref="J45"/>
    </sheetView>
  </sheetViews>
  <sheetFormatPr defaultColWidth="9.00390625" defaultRowHeight="12.75"/>
  <cols>
    <col min="1" max="1" width="4.25390625" style="1" customWidth="1"/>
    <col min="2" max="2" width="6.25390625" style="1" customWidth="1"/>
    <col min="3" max="3" width="7.75390625" style="1" customWidth="1"/>
    <col min="4" max="4" width="18.25390625" style="1" customWidth="1"/>
    <col min="5" max="5" width="12.75390625" style="1" customWidth="1"/>
    <col min="6" max="7" width="10.125" style="1" customWidth="1"/>
    <col min="8" max="8" width="26.625" style="1" customWidth="1"/>
    <col min="9" max="9" width="14.375" style="1" customWidth="1"/>
    <col min="10" max="10" width="16.75390625" style="1" customWidth="1"/>
    <col min="11" max="16384" width="9.125" style="1" customWidth="1"/>
  </cols>
  <sheetData>
    <row r="1" spans="8:10" ht="12.75" customHeight="1">
      <c r="H1" s="113" t="s">
        <v>223</v>
      </c>
      <c r="I1" s="113"/>
      <c r="J1" s="113"/>
    </row>
    <row r="2" spans="8:10" ht="12.75" customHeight="1">
      <c r="H2" s="113"/>
      <c r="I2" s="113"/>
      <c r="J2" s="113"/>
    </row>
    <row r="3" spans="8:10" ht="12.75">
      <c r="H3" s="113"/>
      <c r="I3" s="113"/>
      <c r="J3" s="113"/>
    </row>
    <row r="4" spans="8:10" ht="12.75">
      <c r="H4" s="113"/>
      <c r="I4" s="113"/>
      <c r="J4" s="113"/>
    </row>
    <row r="5" spans="8:10" ht="12.75">
      <c r="H5" s="113"/>
      <c r="I5" s="113"/>
      <c r="J5" s="113"/>
    </row>
    <row r="6" spans="1:10" ht="18">
      <c r="A6" s="105" t="s">
        <v>11</v>
      </c>
      <c r="B6" s="105"/>
      <c r="C6" s="105"/>
      <c r="D6" s="105"/>
      <c r="E6" s="105"/>
      <c r="F6" s="105"/>
      <c r="G6" s="105"/>
      <c r="H6" s="105"/>
      <c r="I6" s="105"/>
      <c r="J6" s="105"/>
    </row>
    <row r="7" spans="1:10" ht="10.5" customHeight="1">
      <c r="A7" s="4"/>
      <c r="B7" s="4"/>
      <c r="C7" s="4"/>
      <c r="D7" s="4"/>
      <c r="E7" s="4"/>
      <c r="F7" s="4"/>
      <c r="G7" s="4"/>
      <c r="H7" s="4"/>
      <c r="I7" s="4"/>
      <c r="J7" s="3" t="s">
        <v>84</v>
      </c>
    </row>
    <row r="8" spans="1:10" s="9" customFormat="1" ht="19.5" customHeight="1">
      <c r="A8" s="111" t="s">
        <v>85</v>
      </c>
      <c r="B8" s="111" t="s">
        <v>72</v>
      </c>
      <c r="C8" s="111" t="s">
        <v>83</v>
      </c>
      <c r="D8" s="112" t="s">
        <v>105</v>
      </c>
      <c r="E8" s="112" t="s">
        <v>89</v>
      </c>
      <c r="F8" s="112"/>
      <c r="G8" s="112"/>
      <c r="H8" s="112"/>
      <c r="I8" s="112"/>
      <c r="J8" s="112" t="s">
        <v>87</v>
      </c>
    </row>
    <row r="9" spans="1:10" s="9" customFormat="1" ht="19.5" customHeight="1">
      <c r="A9" s="111"/>
      <c r="B9" s="111"/>
      <c r="C9" s="111"/>
      <c r="D9" s="112"/>
      <c r="E9" s="112" t="s">
        <v>211</v>
      </c>
      <c r="F9" s="112" t="s">
        <v>80</v>
      </c>
      <c r="G9" s="112"/>
      <c r="H9" s="112"/>
      <c r="I9" s="112"/>
      <c r="J9" s="112"/>
    </row>
    <row r="10" spans="1:10" s="9" customFormat="1" ht="29.25" customHeight="1">
      <c r="A10" s="111"/>
      <c r="B10" s="111"/>
      <c r="C10" s="111"/>
      <c r="D10" s="112"/>
      <c r="E10" s="112"/>
      <c r="F10" s="112" t="s">
        <v>102</v>
      </c>
      <c r="G10" s="112" t="s">
        <v>98</v>
      </c>
      <c r="H10" s="112" t="s">
        <v>104</v>
      </c>
      <c r="I10" s="112" t="s">
        <v>99</v>
      </c>
      <c r="J10" s="112"/>
    </row>
    <row r="11" spans="1:10" s="9" customFormat="1" ht="19.5" customHeight="1">
      <c r="A11" s="111"/>
      <c r="B11" s="111"/>
      <c r="C11" s="111"/>
      <c r="D11" s="112"/>
      <c r="E11" s="112"/>
      <c r="F11" s="112"/>
      <c r="G11" s="112"/>
      <c r="H11" s="112"/>
      <c r="I11" s="112"/>
      <c r="J11" s="112"/>
    </row>
    <row r="12" spans="1:10" s="9" customFormat="1" ht="19.5" customHeight="1">
      <c r="A12" s="111"/>
      <c r="B12" s="111"/>
      <c r="C12" s="111"/>
      <c r="D12" s="112"/>
      <c r="E12" s="112"/>
      <c r="F12" s="112"/>
      <c r="G12" s="112"/>
      <c r="H12" s="112"/>
      <c r="I12" s="112"/>
      <c r="J12" s="112"/>
    </row>
    <row r="13" spans="1:10" ht="7.5" customHeight="1">
      <c r="A13" s="6">
        <v>1</v>
      </c>
      <c r="B13" s="6">
        <v>2</v>
      </c>
      <c r="C13" s="6">
        <v>3</v>
      </c>
      <c r="D13" s="6">
        <v>4</v>
      </c>
      <c r="E13" s="6">
        <v>6</v>
      </c>
      <c r="F13" s="6">
        <v>7</v>
      </c>
      <c r="G13" s="6">
        <v>8</v>
      </c>
      <c r="H13" s="6">
        <v>9</v>
      </c>
      <c r="I13" s="6">
        <v>10</v>
      </c>
      <c r="J13" s="6">
        <v>11</v>
      </c>
    </row>
    <row r="14" spans="1:10" ht="54" customHeight="1">
      <c r="A14" s="33">
        <v>1</v>
      </c>
      <c r="B14" s="33">
        <v>600</v>
      </c>
      <c r="C14" s="33">
        <v>60016</v>
      </c>
      <c r="D14" s="46" t="s">
        <v>204</v>
      </c>
      <c r="E14" s="43">
        <f>F14+G14</f>
        <v>84000</v>
      </c>
      <c r="F14" s="43">
        <f>100000-16000</f>
        <v>84000</v>
      </c>
      <c r="G14" s="36">
        <v>0</v>
      </c>
      <c r="H14" s="37" t="s">
        <v>88</v>
      </c>
      <c r="I14" s="33">
        <v>0</v>
      </c>
      <c r="J14" s="38" t="s">
        <v>147</v>
      </c>
    </row>
    <row r="15" spans="1:10" ht="60" customHeight="1">
      <c r="A15" s="33">
        <v>2</v>
      </c>
      <c r="B15" s="33">
        <v>600</v>
      </c>
      <c r="C15" s="33">
        <v>60016</v>
      </c>
      <c r="D15" s="46" t="s">
        <v>205</v>
      </c>
      <c r="E15" s="43">
        <f aca="true" t="shared" si="0" ref="E15:E37">F15+G15</f>
        <v>378000</v>
      </c>
      <c r="F15" s="43">
        <f>50000+42000</f>
        <v>92000</v>
      </c>
      <c r="G15" s="36">
        <f>250000+36000</f>
        <v>286000</v>
      </c>
      <c r="H15" s="37" t="s">
        <v>88</v>
      </c>
      <c r="I15" s="33">
        <v>0</v>
      </c>
      <c r="J15" s="38" t="s">
        <v>147</v>
      </c>
    </row>
    <row r="16" spans="1:10" ht="57.75" customHeight="1">
      <c r="A16" s="33">
        <v>3</v>
      </c>
      <c r="B16" s="33">
        <v>600</v>
      </c>
      <c r="C16" s="33">
        <v>60016</v>
      </c>
      <c r="D16" s="46" t="s">
        <v>210</v>
      </c>
      <c r="E16" s="43">
        <f t="shared" si="0"/>
        <v>396000</v>
      </c>
      <c r="F16" s="43">
        <f>50000+46000</f>
        <v>96000</v>
      </c>
      <c r="G16" s="36">
        <v>300000</v>
      </c>
      <c r="H16" s="37" t="s">
        <v>88</v>
      </c>
      <c r="I16" s="33">
        <v>0</v>
      </c>
      <c r="J16" s="38" t="s">
        <v>147</v>
      </c>
    </row>
    <row r="17" spans="1:10" ht="57.75" customHeight="1">
      <c r="A17" s="33">
        <v>4</v>
      </c>
      <c r="B17" s="33">
        <v>600</v>
      </c>
      <c r="C17" s="33">
        <v>60016</v>
      </c>
      <c r="D17" s="46" t="s">
        <v>212</v>
      </c>
      <c r="E17" s="43">
        <f t="shared" si="0"/>
        <v>63210</v>
      </c>
      <c r="F17" s="43">
        <f>10000-790</f>
        <v>9210</v>
      </c>
      <c r="G17" s="36">
        <f>90000-36000</f>
        <v>54000</v>
      </c>
      <c r="H17" s="37" t="s">
        <v>88</v>
      </c>
      <c r="I17" s="33">
        <v>0</v>
      </c>
      <c r="J17" s="38" t="s">
        <v>147</v>
      </c>
    </row>
    <row r="18" spans="1:10" ht="57.75" customHeight="1">
      <c r="A18" s="33">
        <v>5</v>
      </c>
      <c r="B18" s="33">
        <v>600</v>
      </c>
      <c r="C18" s="33">
        <v>60016</v>
      </c>
      <c r="D18" s="46" t="s">
        <v>206</v>
      </c>
      <c r="E18" s="43">
        <f t="shared" si="0"/>
        <v>235000</v>
      </c>
      <c r="F18" s="43">
        <f>20000+15000</f>
        <v>35000</v>
      </c>
      <c r="G18" s="36">
        <v>200000</v>
      </c>
      <c r="H18" s="37" t="s">
        <v>88</v>
      </c>
      <c r="I18" s="33">
        <v>0</v>
      </c>
      <c r="J18" s="38" t="s">
        <v>147</v>
      </c>
    </row>
    <row r="19" spans="1:10" ht="57.75" customHeight="1">
      <c r="A19" s="33">
        <v>6</v>
      </c>
      <c r="B19" s="33">
        <v>600</v>
      </c>
      <c r="C19" s="33">
        <v>60016</v>
      </c>
      <c r="D19" s="46" t="s">
        <v>4</v>
      </c>
      <c r="E19" s="43">
        <f>F19+G19+25000</f>
        <v>132500</v>
      </c>
      <c r="F19" s="43">
        <f>10000+7500</f>
        <v>17500</v>
      </c>
      <c r="G19" s="36">
        <v>90000</v>
      </c>
      <c r="H19" s="37" t="s">
        <v>14</v>
      </c>
      <c r="I19" s="33">
        <v>0</v>
      </c>
      <c r="J19" s="38" t="s">
        <v>147</v>
      </c>
    </row>
    <row r="20" spans="1:10" ht="57.75" customHeight="1">
      <c r="A20" s="33">
        <v>7</v>
      </c>
      <c r="B20" s="33">
        <v>600</v>
      </c>
      <c r="C20" s="33">
        <v>60016</v>
      </c>
      <c r="D20" s="46" t="s">
        <v>5</v>
      </c>
      <c r="E20" s="43">
        <f t="shared" si="0"/>
        <v>171500</v>
      </c>
      <c r="F20" s="43">
        <f>50000-28500+4100</f>
        <v>25600</v>
      </c>
      <c r="G20" s="36">
        <f>150000-4100</f>
        <v>145900</v>
      </c>
      <c r="H20" s="37" t="s">
        <v>88</v>
      </c>
      <c r="I20" s="33">
        <v>0</v>
      </c>
      <c r="J20" s="38" t="s">
        <v>147</v>
      </c>
    </row>
    <row r="21" spans="1:10" ht="57.75" customHeight="1">
      <c r="A21" s="33">
        <v>8</v>
      </c>
      <c r="B21" s="33">
        <v>600</v>
      </c>
      <c r="C21" s="33">
        <v>60016</v>
      </c>
      <c r="D21" s="46" t="s">
        <v>6</v>
      </c>
      <c r="E21" s="43">
        <f t="shared" si="0"/>
        <v>146500</v>
      </c>
      <c r="F21" s="43">
        <f>50000-3500</f>
        <v>46500</v>
      </c>
      <c r="G21" s="36">
        <v>100000</v>
      </c>
      <c r="H21" s="37" t="s">
        <v>88</v>
      </c>
      <c r="I21" s="33">
        <v>0</v>
      </c>
      <c r="J21" s="38" t="s">
        <v>147</v>
      </c>
    </row>
    <row r="22" spans="1:10" ht="57.75" customHeight="1">
      <c r="A22" s="33">
        <v>9</v>
      </c>
      <c r="B22" s="33">
        <v>600</v>
      </c>
      <c r="C22" s="33">
        <v>60016</v>
      </c>
      <c r="D22" s="46" t="s">
        <v>36</v>
      </c>
      <c r="E22" s="43">
        <f t="shared" si="0"/>
        <v>20000</v>
      </c>
      <c r="F22" s="43">
        <v>20000</v>
      </c>
      <c r="G22" s="36">
        <v>0</v>
      </c>
      <c r="H22" s="37" t="s">
        <v>88</v>
      </c>
      <c r="I22" s="33">
        <v>0</v>
      </c>
      <c r="J22" s="38" t="s">
        <v>147</v>
      </c>
    </row>
    <row r="23" spans="1:10" ht="111.75" customHeight="1">
      <c r="A23" s="33">
        <v>10</v>
      </c>
      <c r="B23" s="42">
        <v>600</v>
      </c>
      <c r="C23" s="42">
        <v>60016</v>
      </c>
      <c r="D23" s="35" t="s">
        <v>43</v>
      </c>
      <c r="E23" s="43">
        <f>F23</f>
        <v>36000</v>
      </c>
      <c r="F23" s="43">
        <v>36000</v>
      </c>
      <c r="G23" s="36">
        <v>0</v>
      </c>
      <c r="H23" s="37" t="s">
        <v>88</v>
      </c>
      <c r="I23" s="33">
        <v>0</v>
      </c>
      <c r="J23" s="38" t="s">
        <v>147</v>
      </c>
    </row>
    <row r="24" spans="1:10" ht="57.75" customHeight="1">
      <c r="A24" s="33">
        <v>11</v>
      </c>
      <c r="B24" s="33">
        <v>600</v>
      </c>
      <c r="C24" s="33">
        <v>60016</v>
      </c>
      <c r="D24" s="46" t="s">
        <v>46</v>
      </c>
      <c r="E24" s="43">
        <f t="shared" si="0"/>
        <v>60000</v>
      </c>
      <c r="F24" s="43">
        <v>1000</v>
      </c>
      <c r="G24" s="36">
        <v>59000</v>
      </c>
      <c r="H24" s="37" t="s">
        <v>88</v>
      </c>
      <c r="I24" s="33">
        <v>0</v>
      </c>
      <c r="J24" s="38" t="s">
        <v>147</v>
      </c>
    </row>
    <row r="25" spans="1:10" s="48" customFormat="1" ht="57.75" customHeight="1">
      <c r="A25" s="107" t="s">
        <v>153</v>
      </c>
      <c r="B25" s="107"/>
      <c r="C25" s="107"/>
      <c r="D25" s="107"/>
      <c r="E25" s="50">
        <f>F25+G25+25000</f>
        <v>1722710</v>
      </c>
      <c r="F25" s="50">
        <f>F18+F16+F15+F14+F17+F19+F20+F21+F22+F24+F23</f>
        <v>462810</v>
      </c>
      <c r="G25" s="50">
        <f>G18+G16+G15+G14+G17+G19+G20+G21+G22+G24+G23</f>
        <v>1234900</v>
      </c>
      <c r="H25" s="47" t="s">
        <v>14</v>
      </c>
      <c r="I25" s="44">
        <v>0</v>
      </c>
      <c r="J25" s="41" t="s">
        <v>149</v>
      </c>
    </row>
    <row r="26" spans="1:10" s="49" customFormat="1" ht="57.75" customHeight="1">
      <c r="A26" s="33">
        <v>12</v>
      </c>
      <c r="B26" s="33">
        <v>700</v>
      </c>
      <c r="C26" s="33">
        <v>70005</v>
      </c>
      <c r="D26" s="75" t="s">
        <v>180</v>
      </c>
      <c r="E26" s="43">
        <f t="shared" si="0"/>
        <v>100000</v>
      </c>
      <c r="F26" s="43">
        <v>100000</v>
      </c>
      <c r="G26" s="43">
        <v>0</v>
      </c>
      <c r="H26" s="37" t="s">
        <v>88</v>
      </c>
      <c r="I26" s="33">
        <v>0</v>
      </c>
      <c r="J26" s="38" t="s">
        <v>147</v>
      </c>
    </row>
    <row r="27" spans="1:10" s="48" customFormat="1" ht="57.75" customHeight="1">
      <c r="A27" s="107" t="s">
        <v>154</v>
      </c>
      <c r="B27" s="107"/>
      <c r="C27" s="107"/>
      <c r="D27" s="107"/>
      <c r="E27" s="50">
        <f>F27+G27</f>
        <v>100000</v>
      </c>
      <c r="F27" s="50">
        <f>F26</f>
        <v>100000</v>
      </c>
      <c r="G27" s="50">
        <v>0</v>
      </c>
      <c r="H27" s="47" t="s">
        <v>88</v>
      </c>
      <c r="I27" s="44">
        <v>0</v>
      </c>
      <c r="J27" s="41" t="s">
        <v>149</v>
      </c>
    </row>
    <row r="28" spans="1:10" s="49" customFormat="1" ht="57.75" customHeight="1">
      <c r="A28" s="33">
        <v>13</v>
      </c>
      <c r="B28" s="33">
        <v>750</v>
      </c>
      <c r="C28" s="33">
        <v>75023</v>
      </c>
      <c r="D28" s="46" t="s">
        <v>160</v>
      </c>
      <c r="E28" s="43">
        <f>F28+G28</f>
        <v>23798</v>
      </c>
      <c r="F28" s="43">
        <f>100000-15000-59000-2202</f>
        <v>23798</v>
      </c>
      <c r="G28" s="43">
        <v>0</v>
      </c>
      <c r="H28" s="37" t="s">
        <v>88</v>
      </c>
      <c r="I28" s="33">
        <v>0</v>
      </c>
      <c r="J28" s="38" t="s">
        <v>147</v>
      </c>
    </row>
    <row r="29" spans="1:10" s="49" customFormat="1" ht="57.75" customHeight="1">
      <c r="A29" s="33">
        <v>14</v>
      </c>
      <c r="B29" s="33">
        <v>750</v>
      </c>
      <c r="C29" s="33">
        <v>75023</v>
      </c>
      <c r="D29" s="46" t="s">
        <v>31</v>
      </c>
      <c r="E29" s="43">
        <v>15000</v>
      </c>
      <c r="F29" s="43">
        <v>15000</v>
      </c>
      <c r="G29" s="43">
        <v>0</v>
      </c>
      <c r="H29" s="37" t="s">
        <v>88</v>
      </c>
      <c r="I29" s="33">
        <v>0</v>
      </c>
      <c r="J29" s="38" t="s">
        <v>147</v>
      </c>
    </row>
    <row r="30" spans="1:10" s="49" customFormat="1" ht="57.75" customHeight="1">
      <c r="A30" s="33">
        <v>15</v>
      </c>
      <c r="B30" s="33">
        <v>750</v>
      </c>
      <c r="C30" s="33">
        <v>75023</v>
      </c>
      <c r="D30" s="46" t="s">
        <v>19</v>
      </c>
      <c r="E30" s="43">
        <f>F30</f>
        <v>30000</v>
      </c>
      <c r="F30" s="43">
        <v>30000</v>
      </c>
      <c r="G30" s="43">
        <v>0</v>
      </c>
      <c r="H30" s="37" t="s">
        <v>88</v>
      </c>
      <c r="I30" s="33">
        <v>0</v>
      </c>
      <c r="J30" s="38" t="s">
        <v>147</v>
      </c>
    </row>
    <row r="31" spans="1:10" s="48" customFormat="1" ht="57.75" customHeight="1">
      <c r="A31" s="107" t="s">
        <v>161</v>
      </c>
      <c r="B31" s="107"/>
      <c r="C31" s="107"/>
      <c r="D31" s="107"/>
      <c r="E31" s="50">
        <f>F31+G31</f>
        <v>68798</v>
      </c>
      <c r="F31" s="50">
        <f>F28+F30+F29</f>
        <v>68798</v>
      </c>
      <c r="G31" s="50">
        <f>G28+G30</f>
        <v>0</v>
      </c>
      <c r="H31" s="47" t="s">
        <v>88</v>
      </c>
      <c r="I31" s="44">
        <v>0</v>
      </c>
      <c r="J31" s="41" t="s">
        <v>149</v>
      </c>
    </row>
    <row r="32" spans="1:10" s="49" customFormat="1" ht="57.75" customHeight="1">
      <c r="A32" s="33">
        <v>16</v>
      </c>
      <c r="B32" s="33">
        <v>853</v>
      </c>
      <c r="C32" s="33">
        <v>85395</v>
      </c>
      <c r="D32" s="39" t="s">
        <v>33</v>
      </c>
      <c r="E32" s="43">
        <f>F32+G32+I32+629</f>
        <v>12500</v>
      </c>
      <c r="F32" s="43">
        <v>0</v>
      </c>
      <c r="G32" s="43">
        <v>0</v>
      </c>
      <c r="H32" s="37" t="s">
        <v>60</v>
      </c>
      <c r="I32" s="36">
        <v>11871</v>
      </c>
      <c r="J32" s="38" t="s">
        <v>35</v>
      </c>
    </row>
    <row r="33" spans="1:10" s="48" customFormat="1" ht="57.75" customHeight="1">
      <c r="A33" s="108" t="s">
        <v>34</v>
      </c>
      <c r="B33" s="109"/>
      <c r="C33" s="109"/>
      <c r="D33" s="110"/>
      <c r="E33" s="50">
        <f>E32</f>
        <v>12500</v>
      </c>
      <c r="F33" s="50">
        <f>F32</f>
        <v>0</v>
      </c>
      <c r="G33" s="50">
        <f>G32</f>
        <v>0</v>
      </c>
      <c r="H33" s="47" t="str">
        <f>H32</f>
        <v>A.      
B.
C. 629 - dotacja rozwojowa
D. </v>
      </c>
      <c r="I33" s="40">
        <f>I32</f>
        <v>11871</v>
      </c>
      <c r="J33" s="41" t="s">
        <v>30</v>
      </c>
    </row>
    <row r="34" spans="1:10" ht="54.75" customHeight="1">
      <c r="A34" s="33">
        <v>17</v>
      </c>
      <c r="B34" s="33">
        <v>900</v>
      </c>
      <c r="C34" s="33">
        <v>90015</v>
      </c>
      <c r="D34" s="46" t="s">
        <v>208</v>
      </c>
      <c r="E34" s="43">
        <f t="shared" si="0"/>
        <v>145000</v>
      </c>
      <c r="F34" s="36">
        <v>50000</v>
      </c>
      <c r="G34" s="36">
        <f>150000-55000</f>
        <v>95000</v>
      </c>
      <c r="H34" s="37" t="s">
        <v>88</v>
      </c>
      <c r="I34" s="33">
        <v>0</v>
      </c>
      <c r="J34" s="38" t="s">
        <v>147</v>
      </c>
    </row>
    <row r="35" spans="1:10" ht="54.75" customHeight="1">
      <c r="A35" s="33">
        <v>18</v>
      </c>
      <c r="B35" s="33">
        <v>900</v>
      </c>
      <c r="C35" s="33">
        <v>90095</v>
      </c>
      <c r="D35" s="46" t="s">
        <v>13</v>
      </c>
      <c r="E35" s="43">
        <v>10980</v>
      </c>
      <c r="F35" s="36">
        <v>10980</v>
      </c>
      <c r="G35" s="36">
        <v>0</v>
      </c>
      <c r="H35" s="37" t="s">
        <v>88</v>
      </c>
      <c r="I35" s="33">
        <v>0</v>
      </c>
      <c r="J35" s="38" t="s">
        <v>147</v>
      </c>
    </row>
    <row r="36" spans="1:10" s="48" customFormat="1" ht="54.75" customHeight="1">
      <c r="A36" s="107" t="s">
        <v>156</v>
      </c>
      <c r="B36" s="107"/>
      <c r="C36" s="107"/>
      <c r="D36" s="107"/>
      <c r="E36" s="50">
        <f>F36+G36</f>
        <v>155980</v>
      </c>
      <c r="F36" s="40">
        <f>F34+F35</f>
        <v>60980</v>
      </c>
      <c r="G36" s="40">
        <f>G34</f>
        <v>95000</v>
      </c>
      <c r="H36" s="47" t="s">
        <v>209</v>
      </c>
      <c r="I36" s="44">
        <v>0</v>
      </c>
      <c r="J36" s="41" t="s">
        <v>149</v>
      </c>
    </row>
    <row r="37" spans="1:10" s="49" customFormat="1" ht="54.75" customHeight="1">
      <c r="A37" s="33">
        <v>19</v>
      </c>
      <c r="B37" s="33">
        <v>921</v>
      </c>
      <c r="C37" s="33">
        <v>92109</v>
      </c>
      <c r="D37" s="39" t="s">
        <v>207</v>
      </c>
      <c r="E37" s="43">
        <f t="shared" si="0"/>
        <v>77000</v>
      </c>
      <c r="F37" s="36">
        <f>35000+62000-20000</f>
        <v>77000</v>
      </c>
      <c r="G37" s="36">
        <v>0</v>
      </c>
      <c r="H37" s="37" t="s">
        <v>88</v>
      </c>
      <c r="I37" s="33">
        <v>0</v>
      </c>
      <c r="J37" s="38" t="s">
        <v>147</v>
      </c>
    </row>
    <row r="38" spans="1:10" s="48" customFormat="1" ht="54.75" customHeight="1">
      <c r="A38" s="107" t="s">
        <v>199</v>
      </c>
      <c r="B38" s="107"/>
      <c r="C38" s="107"/>
      <c r="D38" s="107"/>
      <c r="E38" s="50">
        <f>F38+G38</f>
        <v>77000</v>
      </c>
      <c r="F38" s="40">
        <f>F37</f>
        <v>77000</v>
      </c>
      <c r="G38" s="40">
        <f>G37</f>
        <v>0</v>
      </c>
      <c r="H38" s="47" t="s">
        <v>209</v>
      </c>
      <c r="I38" s="44">
        <v>0</v>
      </c>
      <c r="J38" s="41" t="s">
        <v>149</v>
      </c>
    </row>
    <row r="39" spans="1:10" s="48" customFormat="1" ht="66.75" customHeight="1">
      <c r="A39" s="107" t="s">
        <v>101</v>
      </c>
      <c r="B39" s="107"/>
      <c r="C39" s="107"/>
      <c r="D39" s="107"/>
      <c r="E39" s="50">
        <f>F39+G39+I39+629+25000</f>
        <v>2136988</v>
      </c>
      <c r="F39" s="40">
        <f>F38+F36+F31+F27+F25+F33</f>
        <v>769588</v>
      </c>
      <c r="G39" s="40">
        <f>G38+G36+G31+G27+G25+G33</f>
        <v>1329900</v>
      </c>
      <c r="H39" s="47" t="s">
        <v>15</v>
      </c>
      <c r="I39" s="40">
        <f>I33</f>
        <v>11871</v>
      </c>
      <c r="J39" s="44" t="s">
        <v>149</v>
      </c>
    </row>
    <row r="40" ht="12.75">
      <c r="E40" s="32"/>
    </row>
    <row r="41" spans="5:7" ht="12.75">
      <c r="E41" s="32"/>
      <c r="G41" s="32"/>
    </row>
    <row r="42" spans="5:10" ht="12.75">
      <c r="E42" s="32"/>
      <c r="F42" s="32"/>
      <c r="J42" s="1" t="s">
        <v>231</v>
      </c>
    </row>
    <row r="43" spans="5:10" ht="12.75">
      <c r="E43" s="32"/>
      <c r="G43" s="32"/>
      <c r="J43" s="1" t="s">
        <v>232</v>
      </c>
    </row>
    <row r="44" ht="12.75">
      <c r="E44" s="32"/>
    </row>
    <row r="45" spans="6:10" ht="12.75">
      <c r="F45" s="32"/>
      <c r="J45" s="1" t="s">
        <v>233</v>
      </c>
    </row>
    <row r="46" spans="5:7" ht="12.75">
      <c r="E46" s="32"/>
      <c r="F46" s="32"/>
      <c r="G46" s="32"/>
    </row>
    <row r="48" ht="12.75">
      <c r="G48" s="32"/>
    </row>
  </sheetData>
  <sheetProtection/>
  <mergeCells count="21">
    <mergeCell ref="H1:J5"/>
    <mergeCell ref="F10:F12"/>
    <mergeCell ref="G10:G12"/>
    <mergeCell ref="H10:H12"/>
    <mergeCell ref="I10:I12"/>
    <mergeCell ref="A39:D39"/>
    <mergeCell ref="A6:J6"/>
    <mergeCell ref="A8:A12"/>
    <mergeCell ref="B8:B12"/>
    <mergeCell ref="C8:C12"/>
    <mergeCell ref="D8:D12"/>
    <mergeCell ref="E8:I8"/>
    <mergeCell ref="J8:J12"/>
    <mergeCell ref="E9:E12"/>
    <mergeCell ref="F9:I9"/>
    <mergeCell ref="A38:D38"/>
    <mergeCell ref="A25:D25"/>
    <mergeCell ref="A31:D31"/>
    <mergeCell ref="A36:D36"/>
    <mergeCell ref="A27:D27"/>
    <mergeCell ref="A33:D33"/>
  </mergeCells>
  <printOptions horizontalCentered="1"/>
  <pageMargins left="0.19" right="0.31" top="0.84" bottom="0.38" header="0.5118110236220472" footer="0.26"/>
  <pageSetup fitToHeight="2" fitToWidth="1" horizontalDpi="600" verticalDpi="600" orientation="portrait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9"/>
  <sheetViews>
    <sheetView defaultGridColor="0" zoomScalePageLayoutView="0" colorId="8" workbookViewId="0" topLeftCell="A43">
      <selection activeCell="K69" sqref="K69"/>
    </sheetView>
  </sheetViews>
  <sheetFormatPr defaultColWidth="9.00390625" defaultRowHeight="12.75"/>
  <cols>
    <col min="1" max="1" width="6.00390625" style="1" bestFit="1" customWidth="1"/>
    <col min="2" max="2" width="8.875" style="1" bestFit="1" customWidth="1"/>
    <col min="3" max="3" width="6.875" style="1" customWidth="1"/>
    <col min="4" max="4" width="14.25390625" style="1" customWidth="1"/>
    <col min="5" max="5" width="14.875" style="1" customWidth="1"/>
    <col min="6" max="6" width="13.625" style="1" customWidth="1"/>
    <col min="7" max="7" width="15.625" style="0" customWidth="1"/>
    <col min="8" max="8" width="15.75390625" style="0" customWidth="1"/>
    <col min="9" max="9" width="11.25390625" style="0" customWidth="1"/>
    <col min="10" max="10" width="15.875" style="0" customWidth="1"/>
    <col min="11" max="11" width="13.00390625" style="0" customWidth="1"/>
  </cols>
  <sheetData>
    <row r="1" spans="7:10" ht="12.75" customHeight="1">
      <c r="G1" s="120" t="s">
        <v>224</v>
      </c>
      <c r="H1" s="120"/>
      <c r="I1" s="120"/>
      <c r="J1" s="120"/>
    </row>
    <row r="2" spans="7:10" ht="12.75">
      <c r="G2" s="120"/>
      <c r="H2" s="120"/>
      <c r="I2" s="120"/>
      <c r="J2" s="120"/>
    </row>
    <row r="3" spans="7:10" ht="12.75">
      <c r="G3" s="120"/>
      <c r="H3" s="120"/>
      <c r="I3" s="120"/>
      <c r="J3" s="120"/>
    </row>
    <row r="4" spans="7:10" ht="12.75">
      <c r="G4" s="120"/>
      <c r="H4" s="120"/>
      <c r="I4" s="120"/>
      <c r="J4" s="120"/>
    </row>
    <row r="6" spans="1:10" ht="48.75" customHeight="1">
      <c r="A6" s="121" t="s">
        <v>1</v>
      </c>
      <c r="B6" s="121"/>
      <c r="C6" s="121"/>
      <c r="D6" s="121"/>
      <c r="E6" s="121"/>
      <c r="F6" s="121"/>
      <c r="G6" s="121"/>
      <c r="H6" s="121"/>
      <c r="I6" s="121"/>
      <c r="J6" s="121"/>
    </row>
    <row r="7" ht="12.75">
      <c r="J7" s="3" t="s">
        <v>84</v>
      </c>
    </row>
    <row r="8" spans="1:11" s="2" customFormat="1" ht="20.25" customHeight="1">
      <c r="A8" s="115" t="s">
        <v>72</v>
      </c>
      <c r="B8" s="115" t="s">
        <v>73</v>
      </c>
      <c r="C8" s="115" t="s">
        <v>79</v>
      </c>
      <c r="D8" s="115" t="s">
        <v>219</v>
      </c>
      <c r="E8" s="115" t="s">
        <v>75</v>
      </c>
      <c r="F8" s="115"/>
      <c r="G8" s="115"/>
      <c r="H8" s="115"/>
      <c r="I8" s="115"/>
      <c r="J8" s="115"/>
      <c r="K8" s="115"/>
    </row>
    <row r="9" spans="1:11" s="2" customFormat="1" ht="20.25" customHeight="1">
      <c r="A9" s="115"/>
      <c r="B9" s="115"/>
      <c r="C9" s="115"/>
      <c r="D9" s="115"/>
      <c r="E9" s="115" t="s">
        <v>81</v>
      </c>
      <c r="F9" s="115" t="s">
        <v>90</v>
      </c>
      <c r="G9" s="115"/>
      <c r="H9" s="115"/>
      <c r="I9" s="115"/>
      <c r="J9" s="115"/>
      <c r="K9" s="115" t="s">
        <v>82</v>
      </c>
    </row>
    <row r="10" spans="1:11" s="2" customFormat="1" ht="65.25" customHeight="1">
      <c r="A10" s="115"/>
      <c r="B10" s="115"/>
      <c r="C10" s="115"/>
      <c r="D10" s="115"/>
      <c r="E10" s="115"/>
      <c r="F10" s="10" t="s">
        <v>186</v>
      </c>
      <c r="G10" s="10" t="s">
        <v>91</v>
      </c>
      <c r="H10" s="10" t="s">
        <v>92</v>
      </c>
      <c r="I10" s="10" t="s">
        <v>93</v>
      </c>
      <c r="J10" s="10" t="s">
        <v>187</v>
      </c>
      <c r="K10" s="115"/>
    </row>
    <row r="11" spans="1:11" ht="9" customHeight="1">
      <c r="A11" s="6">
        <v>1</v>
      </c>
      <c r="B11" s="6">
        <v>2</v>
      </c>
      <c r="C11" s="6">
        <v>3</v>
      </c>
      <c r="D11" s="6">
        <v>4</v>
      </c>
      <c r="E11" s="6">
        <v>5</v>
      </c>
      <c r="F11" s="6">
        <v>6</v>
      </c>
      <c r="G11" s="6">
        <v>7</v>
      </c>
      <c r="H11" s="6">
        <v>8</v>
      </c>
      <c r="I11" s="6">
        <v>9</v>
      </c>
      <c r="J11" s="6">
        <v>10</v>
      </c>
      <c r="K11" s="6">
        <v>11</v>
      </c>
    </row>
    <row r="12" spans="1:11" s="76" customFormat="1" ht="19.5" customHeight="1">
      <c r="A12" s="78" t="s">
        <v>133</v>
      </c>
      <c r="B12" s="78" t="s">
        <v>140</v>
      </c>
      <c r="C12" s="79">
        <v>2010</v>
      </c>
      <c r="D12" s="53">
        <v>217739</v>
      </c>
      <c r="E12" s="28">
        <v>0</v>
      </c>
      <c r="F12" s="28">
        <v>0</v>
      </c>
      <c r="G12" s="28">
        <v>0</v>
      </c>
      <c r="H12" s="28">
        <v>0</v>
      </c>
      <c r="I12" s="28">
        <v>0</v>
      </c>
      <c r="J12" s="28">
        <v>0</v>
      </c>
      <c r="K12" s="28">
        <v>0</v>
      </c>
    </row>
    <row r="13" spans="1:11" s="76" customFormat="1" ht="19.5" customHeight="1">
      <c r="A13" s="78" t="s">
        <v>133</v>
      </c>
      <c r="B13" s="78" t="s">
        <v>140</v>
      </c>
      <c r="C13" s="79">
        <v>4010</v>
      </c>
      <c r="D13" s="77">
        <v>0</v>
      </c>
      <c r="E13" s="53">
        <v>3631</v>
      </c>
      <c r="F13" s="53">
        <f>E13</f>
        <v>3631</v>
      </c>
      <c r="G13" s="28">
        <v>0</v>
      </c>
      <c r="H13" s="28">
        <v>0</v>
      </c>
      <c r="I13" s="28">
        <v>0</v>
      </c>
      <c r="J13" s="28">
        <v>0</v>
      </c>
      <c r="K13" s="28">
        <v>0</v>
      </c>
    </row>
    <row r="14" spans="1:11" s="76" customFormat="1" ht="19.5" customHeight="1">
      <c r="A14" s="78" t="s">
        <v>133</v>
      </c>
      <c r="B14" s="78" t="s">
        <v>140</v>
      </c>
      <c r="C14" s="79">
        <v>4110</v>
      </c>
      <c r="D14" s="77">
        <v>0</v>
      </c>
      <c r="E14" s="53">
        <v>549</v>
      </c>
      <c r="F14" s="53">
        <f>E14</f>
        <v>549</v>
      </c>
      <c r="G14" s="28">
        <v>0</v>
      </c>
      <c r="H14" s="28">
        <v>0</v>
      </c>
      <c r="I14" s="28">
        <v>0</v>
      </c>
      <c r="J14" s="28">
        <v>0</v>
      </c>
      <c r="K14" s="28">
        <v>0</v>
      </c>
    </row>
    <row r="15" spans="1:11" s="76" customFormat="1" ht="19.5" customHeight="1">
      <c r="A15" s="78" t="s">
        <v>133</v>
      </c>
      <c r="B15" s="78" t="s">
        <v>140</v>
      </c>
      <c r="C15" s="79">
        <v>4120</v>
      </c>
      <c r="D15" s="77">
        <v>0</v>
      </c>
      <c r="E15" s="53">
        <v>89</v>
      </c>
      <c r="F15" s="53">
        <f>E15</f>
        <v>89</v>
      </c>
      <c r="G15" s="28">
        <v>0</v>
      </c>
      <c r="H15" s="28">
        <v>0</v>
      </c>
      <c r="I15" s="28">
        <v>0</v>
      </c>
      <c r="J15" s="28">
        <v>0</v>
      </c>
      <c r="K15" s="28">
        <v>0</v>
      </c>
    </row>
    <row r="16" spans="1:11" s="76" customFormat="1" ht="19.5" customHeight="1">
      <c r="A16" s="78" t="s">
        <v>133</v>
      </c>
      <c r="B16" s="78" t="s">
        <v>140</v>
      </c>
      <c r="C16" s="79">
        <v>4430</v>
      </c>
      <c r="D16" s="77">
        <v>0</v>
      </c>
      <c r="E16" s="53">
        <v>213470</v>
      </c>
      <c r="F16" s="28">
        <v>0</v>
      </c>
      <c r="G16" s="28">
        <v>0</v>
      </c>
      <c r="H16" s="28">
        <v>0</v>
      </c>
      <c r="I16" s="28">
        <v>0</v>
      </c>
      <c r="J16" s="53">
        <f>E16</f>
        <v>213470</v>
      </c>
      <c r="K16" s="28">
        <v>0</v>
      </c>
    </row>
    <row r="17" spans="1:11" s="12" customFormat="1" ht="19.5" customHeight="1">
      <c r="A17" s="117" t="s">
        <v>148</v>
      </c>
      <c r="B17" s="118"/>
      <c r="C17" s="119"/>
      <c r="D17" s="51">
        <f>D16+D15+D14+D13+D12</f>
        <v>217739</v>
      </c>
      <c r="E17" s="51">
        <f aca="true" t="shared" si="0" ref="E17:K17">E16+E15+E14+E13+E12</f>
        <v>217739</v>
      </c>
      <c r="F17" s="51">
        <f t="shared" si="0"/>
        <v>4269</v>
      </c>
      <c r="G17" s="51">
        <f t="shared" si="0"/>
        <v>0</v>
      </c>
      <c r="H17" s="51">
        <f t="shared" si="0"/>
        <v>0</v>
      </c>
      <c r="I17" s="51">
        <f t="shared" si="0"/>
        <v>0</v>
      </c>
      <c r="J17" s="51">
        <f t="shared" si="0"/>
        <v>213470</v>
      </c>
      <c r="K17" s="51">
        <f t="shared" si="0"/>
        <v>0</v>
      </c>
    </row>
    <row r="18" spans="1:11" ht="19.5" customHeight="1">
      <c r="A18" s="7">
        <v>750</v>
      </c>
      <c r="B18" s="7">
        <v>75011</v>
      </c>
      <c r="C18" s="7">
        <v>2010</v>
      </c>
      <c r="D18" s="66">
        <v>123428</v>
      </c>
      <c r="E18" s="66">
        <v>0</v>
      </c>
      <c r="F18" s="66">
        <v>0</v>
      </c>
      <c r="G18" s="66">
        <v>0</v>
      </c>
      <c r="H18" s="66">
        <v>0</v>
      </c>
      <c r="I18" s="66">
        <v>0</v>
      </c>
      <c r="J18" s="66">
        <v>0</v>
      </c>
      <c r="K18" s="26">
        <v>0</v>
      </c>
    </row>
    <row r="19" spans="1:11" ht="19.5" customHeight="1">
      <c r="A19" s="7">
        <v>750</v>
      </c>
      <c r="B19" s="7">
        <v>75011</v>
      </c>
      <c r="C19" s="7">
        <v>4010</v>
      </c>
      <c r="D19" s="66">
        <v>0</v>
      </c>
      <c r="E19" s="66">
        <v>105000</v>
      </c>
      <c r="F19" s="66">
        <f>E19</f>
        <v>105000</v>
      </c>
      <c r="G19" s="66">
        <v>0</v>
      </c>
      <c r="H19" s="66">
        <v>0</v>
      </c>
      <c r="I19" s="66">
        <v>0</v>
      </c>
      <c r="J19" s="66">
        <v>0</v>
      </c>
      <c r="K19" s="26">
        <v>0</v>
      </c>
    </row>
    <row r="20" spans="1:11" ht="19.5" customHeight="1">
      <c r="A20" s="7">
        <v>750</v>
      </c>
      <c r="B20" s="7">
        <v>75011</v>
      </c>
      <c r="C20" s="7">
        <v>4110</v>
      </c>
      <c r="D20" s="66">
        <v>0</v>
      </c>
      <c r="E20" s="66">
        <v>15855</v>
      </c>
      <c r="F20" s="66">
        <f>E20</f>
        <v>15855</v>
      </c>
      <c r="G20" s="66">
        <v>0</v>
      </c>
      <c r="H20" s="66">
        <v>0</v>
      </c>
      <c r="I20" s="66">
        <v>0</v>
      </c>
      <c r="J20" s="66">
        <v>0</v>
      </c>
      <c r="K20" s="26">
        <v>0</v>
      </c>
    </row>
    <row r="21" spans="1:11" ht="19.5" customHeight="1">
      <c r="A21" s="7">
        <v>750</v>
      </c>
      <c r="B21" s="7">
        <v>75011</v>
      </c>
      <c r="C21" s="7">
        <v>4120</v>
      </c>
      <c r="D21" s="66">
        <v>0</v>
      </c>
      <c r="E21" s="66">
        <v>2573</v>
      </c>
      <c r="F21" s="66">
        <f>E21</f>
        <v>2573</v>
      </c>
      <c r="G21" s="66">
        <v>0</v>
      </c>
      <c r="H21" s="66">
        <v>0</v>
      </c>
      <c r="I21" s="66">
        <v>0</v>
      </c>
      <c r="J21" s="66">
        <v>0</v>
      </c>
      <c r="K21" s="26">
        <v>0</v>
      </c>
    </row>
    <row r="22" spans="1:11" s="12" customFormat="1" ht="19.5" customHeight="1">
      <c r="A22" s="116" t="s">
        <v>161</v>
      </c>
      <c r="B22" s="116"/>
      <c r="C22" s="116"/>
      <c r="D22" s="51">
        <f>D21+D20+D19+D18</f>
        <v>123428</v>
      </c>
      <c r="E22" s="51">
        <f aca="true" t="shared" si="1" ref="E22:K22">E21+E20+E19+E18</f>
        <v>123428</v>
      </c>
      <c r="F22" s="51">
        <f t="shared" si="1"/>
        <v>123428</v>
      </c>
      <c r="G22" s="51">
        <f t="shared" si="1"/>
        <v>0</v>
      </c>
      <c r="H22" s="51">
        <f t="shared" si="1"/>
        <v>0</v>
      </c>
      <c r="I22" s="51">
        <f t="shared" si="1"/>
        <v>0</v>
      </c>
      <c r="J22" s="51">
        <f t="shared" si="1"/>
        <v>0</v>
      </c>
      <c r="K22" s="51">
        <f t="shared" si="1"/>
        <v>0</v>
      </c>
    </row>
    <row r="23" spans="1:11" ht="19.5" customHeight="1">
      <c r="A23" s="7">
        <v>751</v>
      </c>
      <c r="B23" s="7">
        <v>75101</v>
      </c>
      <c r="C23" s="7">
        <v>2010</v>
      </c>
      <c r="D23" s="66">
        <v>3813</v>
      </c>
      <c r="E23" s="66">
        <v>0</v>
      </c>
      <c r="F23" s="66">
        <v>0</v>
      </c>
      <c r="G23" s="66">
        <v>0</v>
      </c>
      <c r="H23" s="66">
        <v>0</v>
      </c>
      <c r="I23" s="66">
        <v>0</v>
      </c>
      <c r="J23" s="66">
        <v>0</v>
      </c>
      <c r="K23" s="26">
        <v>0</v>
      </c>
    </row>
    <row r="24" spans="1:11" ht="19.5" customHeight="1">
      <c r="A24" s="7">
        <v>751</v>
      </c>
      <c r="B24" s="7">
        <v>75101</v>
      </c>
      <c r="C24" s="7">
        <v>4010</v>
      </c>
      <c r="D24" s="66">
        <v>0</v>
      </c>
      <c r="E24" s="66">
        <v>3243</v>
      </c>
      <c r="F24" s="66">
        <f>E24</f>
        <v>3243</v>
      </c>
      <c r="G24" s="66">
        <v>0</v>
      </c>
      <c r="H24" s="66">
        <v>0</v>
      </c>
      <c r="I24" s="66">
        <v>0</v>
      </c>
      <c r="J24" s="66">
        <v>0</v>
      </c>
      <c r="K24" s="26">
        <v>0</v>
      </c>
    </row>
    <row r="25" spans="1:11" ht="19.5" customHeight="1">
      <c r="A25" s="7">
        <v>751</v>
      </c>
      <c r="B25" s="7">
        <v>75101</v>
      </c>
      <c r="C25" s="7">
        <v>4110</v>
      </c>
      <c r="D25" s="66">
        <v>0</v>
      </c>
      <c r="E25" s="66">
        <v>490</v>
      </c>
      <c r="F25" s="66">
        <f>E25</f>
        <v>490</v>
      </c>
      <c r="G25" s="66">
        <v>0</v>
      </c>
      <c r="H25" s="66">
        <v>0</v>
      </c>
      <c r="I25" s="66">
        <v>0</v>
      </c>
      <c r="J25" s="66">
        <v>0</v>
      </c>
      <c r="K25" s="26">
        <v>0</v>
      </c>
    </row>
    <row r="26" spans="1:11" ht="19.5" customHeight="1">
      <c r="A26" s="7">
        <v>751</v>
      </c>
      <c r="B26" s="7">
        <v>75101</v>
      </c>
      <c r="C26" s="7">
        <v>4120</v>
      </c>
      <c r="D26" s="66">
        <v>0</v>
      </c>
      <c r="E26" s="66">
        <v>80</v>
      </c>
      <c r="F26" s="66">
        <f>E26</f>
        <v>80</v>
      </c>
      <c r="G26" s="66">
        <v>0</v>
      </c>
      <c r="H26" s="66">
        <v>0</v>
      </c>
      <c r="I26" s="66">
        <v>0</v>
      </c>
      <c r="J26" s="66">
        <v>0</v>
      </c>
      <c r="K26" s="26">
        <v>0</v>
      </c>
    </row>
    <row r="27" spans="1:11" ht="19.5" customHeight="1">
      <c r="A27" s="7">
        <v>751</v>
      </c>
      <c r="B27" s="7">
        <v>75113</v>
      </c>
      <c r="C27" s="7">
        <v>2010</v>
      </c>
      <c r="D27" s="66">
        <f>17980+24120</f>
        <v>42100</v>
      </c>
      <c r="E27" s="66">
        <v>0</v>
      </c>
      <c r="F27" s="66">
        <v>0</v>
      </c>
      <c r="G27" s="66">
        <v>0</v>
      </c>
      <c r="H27" s="66">
        <v>0</v>
      </c>
      <c r="I27" s="66">
        <v>0</v>
      </c>
      <c r="J27" s="66">
        <v>0</v>
      </c>
      <c r="K27" s="26">
        <v>0</v>
      </c>
    </row>
    <row r="28" spans="1:11" ht="19.5" customHeight="1">
      <c r="A28" s="7">
        <v>751</v>
      </c>
      <c r="B28" s="7">
        <v>75113</v>
      </c>
      <c r="C28" s="7">
        <v>3030</v>
      </c>
      <c r="D28" s="66">
        <v>0</v>
      </c>
      <c r="E28" s="66">
        <v>24120</v>
      </c>
      <c r="F28" s="66">
        <v>0</v>
      </c>
      <c r="G28" s="66">
        <v>0</v>
      </c>
      <c r="H28" s="66">
        <v>0</v>
      </c>
      <c r="I28" s="66">
        <v>0</v>
      </c>
      <c r="J28" s="66">
        <v>24120</v>
      </c>
      <c r="K28" s="26">
        <v>0</v>
      </c>
    </row>
    <row r="29" spans="1:11" ht="19.5" customHeight="1">
      <c r="A29" s="7">
        <v>751</v>
      </c>
      <c r="B29" s="7">
        <v>75113</v>
      </c>
      <c r="C29" s="7">
        <v>4110</v>
      </c>
      <c r="D29" s="66">
        <v>0</v>
      </c>
      <c r="E29" s="66">
        <f>462+398-33+300</f>
        <v>1127</v>
      </c>
      <c r="F29" s="66">
        <f>E29</f>
        <v>1127</v>
      </c>
      <c r="G29" s="66">
        <v>0</v>
      </c>
      <c r="H29" s="66">
        <v>0</v>
      </c>
      <c r="I29" s="66">
        <v>0</v>
      </c>
      <c r="J29" s="66">
        <v>0</v>
      </c>
      <c r="K29" s="26">
        <v>0</v>
      </c>
    </row>
    <row r="30" spans="1:11" ht="19.5" customHeight="1">
      <c r="A30" s="7">
        <v>751</v>
      </c>
      <c r="B30" s="7">
        <v>75113</v>
      </c>
      <c r="C30" s="7">
        <v>4120</v>
      </c>
      <c r="D30" s="66">
        <v>0</v>
      </c>
      <c r="E30" s="66">
        <f>68+65+2+48</f>
        <v>183</v>
      </c>
      <c r="F30" s="66">
        <f>E30</f>
        <v>183</v>
      </c>
      <c r="G30" s="66">
        <v>0</v>
      </c>
      <c r="H30" s="66">
        <v>0</v>
      </c>
      <c r="I30" s="66">
        <v>0</v>
      </c>
      <c r="J30" s="66">
        <v>0</v>
      </c>
      <c r="K30" s="26">
        <v>0</v>
      </c>
    </row>
    <row r="31" spans="1:11" ht="19.5" customHeight="1">
      <c r="A31" s="7">
        <v>751</v>
      </c>
      <c r="B31" s="7">
        <v>75113</v>
      </c>
      <c r="C31" s="7">
        <v>4170</v>
      </c>
      <c r="D31" s="66">
        <v>0</v>
      </c>
      <c r="E31" s="66">
        <f>5390+1920</f>
        <v>7310</v>
      </c>
      <c r="F31" s="66">
        <f>E31</f>
        <v>7310</v>
      </c>
      <c r="G31" s="66">
        <v>0</v>
      </c>
      <c r="H31" s="66">
        <v>0</v>
      </c>
      <c r="I31" s="66">
        <v>0</v>
      </c>
      <c r="J31" s="66">
        <v>0</v>
      </c>
      <c r="K31" s="26">
        <v>0</v>
      </c>
    </row>
    <row r="32" spans="1:11" ht="19.5" customHeight="1">
      <c r="A32" s="7">
        <v>751</v>
      </c>
      <c r="B32" s="7">
        <v>75113</v>
      </c>
      <c r="C32" s="7">
        <v>4210</v>
      </c>
      <c r="D32" s="66">
        <v>0</v>
      </c>
      <c r="E32" s="66">
        <f>9000-463-2955</f>
        <v>5582</v>
      </c>
      <c r="F32" s="66">
        <v>0</v>
      </c>
      <c r="G32" s="66">
        <v>0</v>
      </c>
      <c r="H32" s="66">
        <v>0</v>
      </c>
      <c r="I32" s="66">
        <v>0</v>
      </c>
      <c r="J32" s="66">
        <f>E32</f>
        <v>5582</v>
      </c>
      <c r="K32" s="26">
        <v>0</v>
      </c>
    </row>
    <row r="33" spans="1:11" ht="19.5" customHeight="1">
      <c r="A33" s="7">
        <v>751</v>
      </c>
      <c r="B33" s="7">
        <v>75113</v>
      </c>
      <c r="C33" s="7">
        <v>4300</v>
      </c>
      <c r="D33" s="66">
        <v>0</v>
      </c>
      <c r="E33" s="66">
        <f>5358-5168+3200-3200</f>
        <v>190</v>
      </c>
      <c r="F33" s="66">
        <v>0</v>
      </c>
      <c r="G33" s="66">
        <v>0</v>
      </c>
      <c r="H33" s="66">
        <v>0</v>
      </c>
      <c r="I33" s="66">
        <v>0</v>
      </c>
      <c r="J33" s="66">
        <f>E33</f>
        <v>190</v>
      </c>
      <c r="K33" s="26">
        <v>0</v>
      </c>
    </row>
    <row r="34" spans="1:11" ht="19.5" customHeight="1">
      <c r="A34" s="7">
        <v>751</v>
      </c>
      <c r="B34" s="7">
        <v>75113</v>
      </c>
      <c r="C34" s="7">
        <v>4740</v>
      </c>
      <c r="D34" s="66">
        <v>0</v>
      </c>
      <c r="E34" s="66">
        <f>193+2200</f>
        <v>2393</v>
      </c>
      <c r="F34" s="66">
        <v>0</v>
      </c>
      <c r="G34" s="66">
        <v>0</v>
      </c>
      <c r="H34" s="66">
        <v>0</v>
      </c>
      <c r="I34" s="66">
        <v>0</v>
      </c>
      <c r="J34" s="66">
        <f>E34</f>
        <v>2393</v>
      </c>
      <c r="K34" s="26">
        <v>0</v>
      </c>
    </row>
    <row r="35" spans="1:11" ht="19.5" customHeight="1">
      <c r="A35" s="7">
        <v>751</v>
      </c>
      <c r="B35" s="7">
        <v>75113</v>
      </c>
      <c r="C35" s="7">
        <v>4750</v>
      </c>
      <c r="D35" s="66">
        <v>0</v>
      </c>
      <c r="E35" s="66">
        <f>195+1000</f>
        <v>1195</v>
      </c>
      <c r="F35" s="66">
        <v>0</v>
      </c>
      <c r="G35" s="66">
        <v>0</v>
      </c>
      <c r="H35" s="66">
        <v>0</v>
      </c>
      <c r="I35" s="66">
        <v>0</v>
      </c>
      <c r="J35" s="66">
        <f>E35</f>
        <v>1195</v>
      </c>
      <c r="K35" s="26">
        <v>0</v>
      </c>
    </row>
    <row r="36" spans="1:12" s="12" customFormat="1" ht="19.5" customHeight="1">
      <c r="A36" s="116" t="s">
        <v>178</v>
      </c>
      <c r="B36" s="116"/>
      <c r="C36" s="116"/>
      <c r="D36" s="51">
        <f>D26+D25+D24+D23+D27+D29+D30+D32+D33</f>
        <v>45913</v>
      </c>
      <c r="E36" s="51">
        <f>E26+E25+E24+E23+E27+E29+E30+E32+E33+E28+E31+E34+E35</f>
        <v>45913</v>
      </c>
      <c r="F36" s="51">
        <f aca="true" t="shared" si="2" ref="F36:K36">F26+F25+F24+F23+F27+F29+F30+F32+F33+F28+F31+F34+F35</f>
        <v>12433</v>
      </c>
      <c r="G36" s="51">
        <f t="shared" si="2"/>
        <v>0</v>
      </c>
      <c r="H36" s="51">
        <f t="shared" si="2"/>
        <v>0</v>
      </c>
      <c r="I36" s="51">
        <f t="shared" si="2"/>
        <v>0</v>
      </c>
      <c r="J36" s="51">
        <f t="shared" si="2"/>
        <v>33480</v>
      </c>
      <c r="K36" s="51">
        <f t="shared" si="2"/>
        <v>0</v>
      </c>
      <c r="L36" s="80"/>
    </row>
    <row r="37" spans="1:11" ht="19.5" customHeight="1">
      <c r="A37" s="7">
        <v>852</v>
      </c>
      <c r="B37" s="7">
        <v>85212</v>
      </c>
      <c r="C37" s="7">
        <v>2010</v>
      </c>
      <c r="D37" s="66">
        <f>7637329-656611-871692</f>
        <v>6109026</v>
      </c>
      <c r="E37" s="66">
        <v>0</v>
      </c>
      <c r="F37" s="66">
        <v>0</v>
      </c>
      <c r="G37" s="66">
        <v>0</v>
      </c>
      <c r="H37" s="66">
        <v>0</v>
      </c>
      <c r="I37" s="66">
        <v>0</v>
      </c>
      <c r="J37" s="66">
        <v>0</v>
      </c>
      <c r="K37" s="26">
        <v>0</v>
      </c>
    </row>
    <row r="38" spans="1:11" ht="19.5" customHeight="1">
      <c r="A38" s="7">
        <v>852</v>
      </c>
      <c r="B38" s="7">
        <v>85212</v>
      </c>
      <c r="C38" s="7">
        <v>3110</v>
      </c>
      <c r="D38" s="66">
        <v>0</v>
      </c>
      <c r="E38" s="66">
        <f>7382729-636913-848790</f>
        <v>5897026</v>
      </c>
      <c r="F38" s="66">
        <v>0</v>
      </c>
      <c r="G38" s="66">
        <v>0</v>
      </c>
      <c r="H38" s="66">
        <v>0</v>
      </c>
      <c r="I38" s="66">
        <v>0</v>
      </c>
      <c r="J38" s="66">
        <f>E38</f>
        <v>5897026</v>
      </c>
      <c r="K38" s="26">
        <v>0</v>
      </c>
    </row>
    <row r="39" spans="1:11" ht="19.5" customHeight="1">
      <c r="A39" s="7">
        <v>852</v>
      </c>
      <c r="B39" s="7">
        <v>85212</v>
      </c>
      <c r="C39" s="7">
        <v>4010</v>
      </c>
      <c r="D39" s="66">
        <v>0</v>
      </c>
      <c r="E39" s="66">
        <f>146875-7049-15398</f>
        <v>124428</v>
      </c>
      <c r="F39" s="66">
        <f>E39</f>
        <v>124428</v>
      </c>
      <c r="G39" s="66">
        <v>0</v>
      </c>
      <c r="H39" s="66">
        <v>0</v>
      </c>
      <c r="I39" s="66">
        <v>0</v>
      </c>
      <c r="J39" s="66">
        <v>0</v>
      </c>
      <c r="K39" s="26">
        <v>0</v>
      </c>
    </row>
    <row r="40" spans="1:11" ht="19.5" customHeight="1">
      <c r="A40" s="7">
        <v>852</v>
      </c>
      <c r="B40" s="7">
        <v>85212</v>
      </c>
      <c r="C40" s="7">
        <v>4040</v>
      </c>
      <c r="D40" s="66">
        <v>0</v>
      </c>
      <c r="E40" s="66">
        <f>7663-53</f>
        <v>7610</v>
      </c>
      <c r="F40" s="66">
        <v>7663</v>
      </c>
      <c r="G40" s="66">
        <v>0</v>
      </c>
      <c r="H40" s="66">
        <v>0</v>
      </c>
      <c r="I40" s="66">
        <v>0</v>
      </c>
      <c r="J40" s="66">
        <v>0</v>
      </c>
      <c r="K40" s="26">
        <v>0</v>
      </c>
    </row>
    <row r="41" spans="1:11" ht="19.5" customHeight="1">
      <c r="A41" s="7">
        <v>852</v>
      </c>
      <c r="B41" s="7">
        <v>85212</v>
      </c>
      <c r="C41" s="7">
        <v>4110</v>
      </c>
      <c r="D41" s="66">
        <v>0</v>
      </c>
      <c r="E41" s="66">
        <f>56015-6900</f>
        <v>49115</v>
      </c>
      <c r="F41" s="66">
        <v>56015</v>
      </c>
      <c r="G41" s="66">
        <v>0</v>
      </c>
      <c r="H41" s="66">
        <v>0</v>
      </c>
      <c r="I41" s="66">
        <v>0</v>
      </c>
      <c r="J41" s="66">
        <v>0</v>
      </c>
      <c r="K41" s="26">
        <v>0</v>
      </c>
    </row>
    <row r="42" spans="1:11" ht="19.5" customHeight="1">
      <c r="A42" s="7">
        <v>852</v>
      </c>
      <c r="B42" s="7">
        <v>85212</v>
      </c>
      <c r="C42" s="7">
        <v>4120</v>
      </c>
      <c r="D42" s="66">
        <v>0</v>
      </c>
      <c r="E42" s="66">
        <f>3787-551</f>
        <v>3236</v>
      </c>
      <c r="F42" s="66">
        <v>3787</v>
      </c>
      <c r="G42" s="66">
        <v>0</v>
      </c>
      <c r="H42" s="66">
        <v>0</v>
      </c>
      <c r="I42" s="66">
        <v>0</v>
      </c>
      <c r="J42" s="66">
        <v>0</v>
      </c>
      <c r="K42" s="26">
        <v>0</v>
      </c>
    </row>
    <row r="43" spans="1:11" ht="19.5" customHeight="1">
      <c r="A43" s="7">
        <v>852</v>
      </c>
      <c r="B43" s="7">
        <v>85212</v>
      </c>
      <c r="C43" s="7">
        <v>4170</v>
      </c>
      <c r="D43" s="66">
        <v>0</v>
      </c>
      <c r="E43" s="66">
        <v>2400</v>
      </c>
      <c r="F43" s="66">
        <v>2400</v>
      </c>
      <c r="G43" s="66">
        <v>0</v>
      </c>
      <c r="H43" s="66">
        <v>0</v>
      </c>
      <c r="I43" s="66">
        <v>0</v>
      </c>
      <c r="J43" s="66">
        <v>0</v>
      </c>
      <c r="K43" s="26">
        <v>0</v>
      </c>
    </row>
    <row r="44" spans="1:11" ht="19.5" customHeight="1">
      <c r="A44" s="7">
        <v>852</v>
      </c>
      <c r="B44" s="7">
        <v>85212</v>
      </c>
      <c r="C44" s="7">
        <v>4210</v>
      </c>
      <c r="D44" s="66">
        <v>0</v>
      </c>
      <c r="E44" s="66">
        <f>5500-2000</f>
        <v>3500</v>
      </c>
      <c r="F44" s="66">
        <v>0</v>
      </c>
      <c r="G44" s="66">
        <v>0</v>
      </c>
      <c r="H44" s="66">
        <v>0</v>
      </c>
      <c r="I44" s="66">
        <v>0</v>
      </c>
      <c r="J44" s="66">
        <f aca="true" t="shared" si="3" ref="J44:J50">E44</f>
        <v>3500</v>
      </c>
      <c r="K44" s="26">
        <v>0</v>
      </c>
    </row>
    <row r="45" spans="1:11" ht="19.5" customHeight="1">
      <c r="A45" s="7">
        <v>852</v>
      </c>
      <c r="B45" s="7">
        <v>85212</v>
      </c>
      <c r="C45" s="7">
        <v>4300</v>
      </c>
      <c r="D45" s="66">
        <v>0</v>
      </c>
      <c r="E45" s="66">
        <f>18080-4000</f>
        <v>14080</v>
      </c>
      <c r="F45" s="66">
        <v>0</v>
      </c>
      <c r="G45" s="66">
        <v>0</v>
      </c>
      <c r="H45" s="66">
        <v>0</v>
      </c>
      <c r="I45" s="66">
        <v>0</v>
      </c>
      <c r="J45" s="66">
        <f t="shared" si="3"/>
        <v>14080</v>
      </c>
      <c r="K45" s="26">
        <v>0</v>
      </c>
    </row>
    <row r="46" spans="1:11" ht="19.5" customHeight="1">
      <c r="A46" s="7">
        <v>852</v>
      </c>
      <c r="B46" s="7">
        <v>85212</v>
      </c>
      <c r="C46" s="7">
        <v>4370</v>
      </c>
      <c r="D46" s="66">
        <v>0</v>
      </c>
      <c r="E46" s="66">
        <f>6300-4225</f>
        <v>2075</v>
      </c>
      <c r="F46" s="66">
        <v>0</v>
      </c>
      <c r="G46" s="66">
        <v>0</v>
      </c>
      <c r="H46" s="66">
        <v>0</v>
      </c>
      <c r="I46" s="66">
        <v>0</v>
      </c>
      <c r="J46" s="66">
        <f t="shared" si="3"/>
        <v>2075</v>
      </c>
      <c r="K46" s="26">
        <v>0</v>
      </c>
    </row>
    <row r="47" spans="1:11" ht="19.5" customHeight="1">
      <c r="A47" s="7">
        <v>852</v>
      </c>
      <c r="B47" s="7">
        <v>85212</v>
      </c>
      <c r="C47" s="7">
        <v>4440</v>
      </c>
      <c r="D47" s="66">
        <v>0</v>
      </c>
      <c r="E47" s="66">
        <f>2850+150</f>
        <v>3000</v>
      </c>
      <c r="F47" s="66">
        <v>0</v>
      </c>
      <c r="G47" s="66">
        <v>0</v>
      </c>
      <c r="H47" s="66">
        <v>0</v>
      </c>
      <c r="I47" s="66">
        <v>0</v>
      </c>
      <c r="J47" s="66">
        <f t="shared" si="3"/>
        <v>3000</v>
      </c>
      <c r="K47" s="26">
        <v>0</v>
      </c>
    </row>
    <row r="48" spans="1:11" ht="19.5" customHeight="1">
      <c r="A48" s="7">
        <v>852</v>
      </c>
      <c r="B48" s="7">
        <v>85212</v>
      </c>
      <c r="C48" s="7">
        <v>4700</v>
      </c>
      <c r="D48" s="66">
        <v>0</v>
      </c>
      <c r="E48" s="66">
        <f>1300+300</f>
        <v>1600</v>
      </c>
      <c r="F48" s="66">
        <v>0</v>
      </c>
      <c r="G48" s="66">
        <v>0</v>
      </c>
      <c r="H48" s="66">
        <v>0</v>
      </c>
      <c r="I48" s="66">
        <v>0</v>
      </c>
      <c r="J48" s="66">
        <f t="shared" si="3"/>
        <v>1600</v>
      </c>
      <c r="K48" s="26">
        <v>0</v>
      </c>
    </row>
    <row r="49" spans="1:11" ht="19.5" customHeight="1">
      <c r="A49" s="7">
        <v>852</v>
      </c>
      <c r="B49" s="7">
        <v>85212</v>
      </c>
      <c r="C49" s="7">
        <v>4740</v>
      </c>
      <c r="D49" s="66">
        <v>0</v>
      </c>
      <c r="E49" s="66">
        <f>1800-450-1350</f>
        <v>0</v>
      </c>
      <c r="F49" s="66">
        <v>0</v>
      </c>
      <c r="G49" s="66">
        <v>0</v>
      </c>
      <c r="H49" s="66">
        <v>0</v>
      </c>
      <c r="I49" s="66">
        <v>0</v>
      </c>
      <c r="J49" s="66">
        <f t="shared" si="3"/>
        <v>0</v>
      </c>
      <c r="K49" s="26">
        <v>0</v>
      </c>
    </row>
    <row r="50" spans="1:11" ht="19.5" customHeight="1">
      <c r="A50" s="7">
        <v>852</v>
      </c>
      <c r="B50" s="7">
        <v>85212</v>
      </c>
      <c r="C50" s="7">
        <v>4750</v>
      </c>
      <c r="D50" s="66">
        <v>0</v>
      </c>
      <c r="E50" s="66">
        <f>2030-1074</f>
        <v>956</v>
      </c>
      <c r="F50" s="66">
        <v>0</v>
      </c>
      <c r="G50" s="66">
        <v>0</v>
      </c>
      <c r="H50" s="66">
        <v>0</v>
      </c>
      <c r="I50" s="66">
        <v>0</v>
      </c>
      <c r="J50" s="66">
        <f t="shared" si="3"/>
        <v>956</v>
      </c>
      <c r="K50" s="26">
        <v>0</v>
      </c>
    </row>
    <row r="51" spans="1:11" ht="19.5" customHeight="1">
      <c r="A51" s="7">
        <v>852</v>
      </c>
      <c r="B51" s="7">
        <v>85213</v>
      </c>
      <c r="C51" s="7">
        <v>2010</v>
      </c>
      <c r="D51" s="66">
        <f>44932-24582</f>
        <v>20350</v>
      </c>
      <c r="E51" s="66">
        <v>0</v>
      </c>
      <c r="F51" s="66">
        <f>E51</f>
        <v>0</v>
      </c>
      <c r="G51" s="66">
        <v>0</v>
      </c>
      <c r="H51" s="66">
        <v>0</v>
      </c>
      <c r="I51" s="66">
        <v>0</v>
      </c>
      <c r="J51" s="66">
        <v>0</v>
      </c>
      <c r="K51" s="26">
        <v>0</v>
      </c>
    </row>
    <row r="52" spans="1:11" ht="19.5" customHeight="1">
      <c r="A52" s="7">
        <v>852</v>
      </c>
      <c r="B52" s="7">
        <v>85213</v>
      </c>
      <c r="C52" s="7">
        <v>4130</v>
      </c>
      <c r="D52" s="66">
        <v>0</v>
      </c>
      <c r="E52" s="66">
        <f>44932-24582</f>
        <v>20350</v>
      </c>
      <c r="F52" s="66">
        <f>E52</f>
        <v>20350</v>
      </c>
      <c r="G52" s="66">
        <v>0</v>
      </c>
      <c r="H52" s="66">
        <v>0</v>
      </c>
      <c r="I52" s="66">
        <v>0</v>
      </c>
      <c r="J52" s="66">
        <v>0</v>
      </c>
      <c r="K52" s="26">
        <v>0</v>
      </c>
    </row>
    <row r="53" spans="1:11" ht="19.5" customHeight="1">
      <c r="A53" s="7">
        <v>852</v>
      </c>
      <c r="B53" s="7">
        <v>85214</v>
      </c>
      <c r="C53" s="7">
        <v>2010</v>
      </c>
      <c r="D53" s="66">
        <f>300725-105792</f>
        <v>194933</v>
      </c>
      <c r="E53" s="66">
        <v>0</v>
      </c>
      <c r="F53" s="66">
        <f>E53</f>
        <v>0</v>
      </c>
      <c r="G53" s="66">
        <f>G54</f>
        <v>0</v>
      </c>
      <c r="H53" s="66">
        <f>H54</f>
        <v>0</v>
      </c>
      <c r="I53" s="66">
        <v>0</v>
      </c>
      <c r="J53" s="66">
        <v>0</v>
      </c>
      <c r="K53" s="26">
        <v>0</v>
      </c>
    </row>
    <row r="54" spans="1:11" ht="19.5" customHeight="1">
      <c r="A54" s="7">
        <v>852</v>
      </c>
      <c r="B54" s="7">
        <v>85214</v>
      </c>
      <c r="C54" s="7">
        <v>3110</v>
      </c>
      <c r="D54" s="66">
        <v>0</v>
      </c>
      <c r="E54" s="66">
        <f>300725-105792</f>
        <v>194933</v>
      </c>
      <c r="F54" s="66">
        <v>0</v>
      </c>
      <c r="G54" s="66">
        <v>0</v>
      </c>
      <c r="H54" s="66">
        <v>0</v>
      </c>
      <c r="I54" s="66">
        <v>0</v>
      </c>
      <c r="J54" s="66">
        <f>E54</f>
        <v>194933</v>
      </c>
      <c r="K54" s="26">
        <v>0</v>
      </c>
    </row>
    <row r="55" spans="1:11" ht="19.5" customHeight="1">
      <c r="A55" s="7">
        <v>852</v>
      </c>
      <c r="B55" s="7">
        <v>85228</v>
      </c>
      <c r="C55" s="7">
        <v>2010</v>
      </c>
      <c r="D55" s="66">
        <v>47586</v>
      </c>
      <c r="E55" s="66">
        <v>0</v>
      </c>
      <c r="F55" s="66">
        <f>E55</f>
        <v>0</v>
      </c>
      <c r="G55" s="66">
        <v>0</v>
      </c>
      <c r="H55" s="66">
        <v>0</v>
      </c>
      <c r="I55" s="66">
        <v>0</v>
      </c>
      <c r="J55" s="66">
        <v>0</v>
      </c>
      <c r="K55" s="26">
        <v>0</v>
      </c>
    </row>
    <row r="56" spans="1:11" ht="19.5" customHeight="1">
      <c r="A56" s="7">
        <v>852</v>
      </c>
      <c r="B56" s="7">
        <v>85228</v>
      </c>
      <c r="C56" s="7">
        <v>3020</v>
      </c>
      <c r="D56" s="66">
        <v>0</v>
      </c>
      <c r="E56" s="66">
        <f>245-100</f>
        <v>145</v>
      </c>
      <c r="F56" s="66">
        <v>0</v>
      </c>
      <c r="G56" s="66">
        <v>0</v>
      </c>
      <c r="H56" s="66">
        <v>0</v>
      </c>
      <c r="I56" s="66">
        <v>0</v>
      </c>
      <c r="J56" s="66">
        <f>E56</f>
        <v>145</v>
      </c>
      <c r="K56" s="26">
        <v>0</v>
      </c>
    </row>
    <row r="57" spans="1:11" ht="19.5" customHeight="1">
      <c r="A57" s="7">
        <v>852</v>
      </c>
      <c r="B57" s="7">
        <v>85228</v>
      </c>
      <c r="C57" s="7">
        <v>4010</v>
      </c>
      <c r="D57" s="66">
        <v>0</v>
      </c>
      <c r="E57" s="66">
        <v>35063</v>
      </c>
      <c r="F57" s="66">
        <v>35063</v>
      </c>
      <c r="G57" s="66">
        <v>0</v>
      </c>
      <c r="H57" s="66">
        <v>0</v>
      </c>
      <c r="I57" s="66">
        <v>0</v>
      </c>
      <c r="J57" s="66">
        <v>0</v>
      </c>
      <c r="K57" s="26">
        <v>0</v>
      </c>
    </row>
    <row r="58" spans="1:11" ht="19.5" customHeight="1">
      <c r="A58" s="7">
        <v>852</v>
      </c>
      <c r="B58" s="7">
        <v>85228</v>
      </c>
      <c r="C58" s="7">
        <v>4040</v>
      </c>
      <c r="D58" s="66">
        <v>0</v>
      </c>
      <c r="E58" s="66">
        <v>2502</v>
      </c>
      <c r="F58" s="66">
        <v>2502</v>
      </c>
      <c r="G58" s="66">
        <v>0</v>
      </c>
      <c r="H58" s="66">
        <v>0</v>
      </c>
      <c r="I58" s="66">
        <v>0</v>
      </c>
      <c r="J58" s="66">
        <v>0</v>
      </c>
      <c r="K58" s="26">
        <v>0</v>
      </c>
    </row>
    <row r="59" spans="1:11" ht="19.5" customHeight="1">
      <c r="A59" s="7">
        <v>852</v>
      </c>
      <c r="B59" s="7">
        <v>85228</v>
      </c>
      <c r="C59" s="7">
        <v>4110</v>
      </c>
      <c r="D59" s="66">
        <v>0</v>
      </c>
      <c r="E59" s="66">
        <v>5955</v>
      </c>
      <c r="F59" s="66">
        <v>5955</v>
      </c>
      <c r="G59" s="66">
        <v>0</v>
      </c>
      <c r="H59" s="66">
        <v>0</v>
      </c>
      <c r="I59" s="66">
        <v>0</v>
      </c>
      <c r="J59" s="66">
        <v>0</v>
      </c>
      <c r="K59" s="26">
        <v>0</v>
      </c>
    </row>
    <row r="60" spans="1:11" ht="19.5" customHeight="1">
      <c r="A60" s="7">
        <v>852</v>
      </c>
      <c r="B60" s="7">
        <v>85228</v>
      </c>
      <c r="C60" s="7">
        <v>4120</v>
      </c>
      <c r="D60" s="66">
        <v>0</v>
      </c>
      <c r="E60" s="66">
        <v>921</v>
      </c>
      <c r="F60" s="66">
        <v>921</v>
      </c>
      <c r="G60" s="66">
        <v>0</v>
      </c>
      <c r="H60" s="66">
        <v>0</v>
      </c>
      <c r="I60" s="66">
        <v>0</v>
      </c>
      <c r="J60" s="66">
        <v>0</v>
      </c>
      <c r="K60" s="26">
        <v>0</v>
      </c>
    </row>
    <row r="61" spans="1:11" ht="19.5" customHeight="1">
      <c r="A61" s="7">
        <v>852</v>
      </c>
      <c r="B61" s="7">
        <v>85228</v>
      </c>
      <c r="C61" s="7">
        <v>4170</v>
      </c>
      <c r="D61" s="66">
        <v>0</v>
      </c>
      <c r="E61" s="66">
        <v>1000</v>
      </c>
      <c r="F61" s="66">
        <v>1000</v>
      </c>
      <c r="G61" s="66">
        <v>0</v>
      </c>
      <c r="H61" s="66">
        <v>0</v>
      </c>
      <c r="I61" s="66">
        <v>0</v>
      </c>
      <c r="J61" s="66">
        <v>0</v>
      </c>
      <c r="K61" s="26">
        <v>0</v>
      </c>
    </row>
    <row r="62" spans="1:11" ht="19.5" customHeight="1">
      <c r="A62" s="7">
        <v>852</v>
      </c>
      <c r="B62" s="7">
        <v>85228</v>
      </c>
      <c r="C62" s="7">
        <v>4440</v>
      </c>
      <c r="D62" s="66">
        <v>0</v>
      </c>
      <c r="E62" s="66">
        <f>1900+100</f>
        <v>2000</v>
      </c>
      <c r="F62" s="66">
        <f>E62</f>
        <v>2000</v>
      </c>
      <c r="G62" s="66">
        <v>0</v>
      </c>
      <c r="H62" s="66">
        <v>0</v>
      </c>
      <c r="I62" s="66">
        <v>0</v>
      </c>
      <c r="J62" s="66">
        <v>0</v>
      </c>
      <c r="K62" s="26">
        <v>0</v>
      </c>
    </row>
    <row r="63" spans="1:11" s="12" customFormat="1" ht="19.5" customHeight="1">
      <c r="A63" s="116" t="s">
        <v>179</v>
      </c>
      <c r="B63" s="116"/>
      <c r="C63" s="116"/>
      <c r="D63" s="51">
        <f>D62+D61+D60+D59+D58+D57+D56+D55+D54+D53+D52+D51+D50+D49+D47+D46+D45+D44+D43+D42+D41+D40+D39+D38+D37+D48</f>
        <v>6371895</v>
      </c>
      <c r="E63" s="51">
        <f aca="true" t="shared" si="4" ref="E63:K63">E62+E61+E60+E59+E58+E57+E56+E55+E54+E53+E52+E51+E50+E49+E47+E46+E45+E44+E43+E42+E41+E40+E39+E38+E37+E48</f>
        <v>6371895</v>
      </c>
      <c r="F63" s="51">
        <f t="shared" si="4"/>
        <v>262084</v>
      </c>
      <c r="G63" s="51">
        <f t="shared" si="4"/>
        <v>0</v>
      </c>
      <c r="H63" s="51">
        <f t="shared" si="4"/>
        <v>0</v>
      </c>
      <c r="I63" s="51">
        <f t="shared" si="4"/>
        <v>0</v>
      </c>
      <c r="J63" s="51">
        <f t="shared" si="4"/>
        <v>6117315</v>
      </c>
      <c r="K63" s="51">
        <f t="shared" si="4"/>
        <v>0</v>
      </c>
    </row>
    <row r="64" spans="1:11" ht="19.5" customHeight="1">
      <c r="A64" s="114" t="s">
        <v>101</v>
      </c>
      <c r="B64" s="114"/>
      <c r="C64" s="114"/>
      <c r="D64" s="67">
        <f aca="true" t="shared" si="5" ref="D64:K64">D63+D36+D22+D17</f>
        <v>6758975</v>
      </c>
      <c r="E64" s="67">
        <f t="shared" si="5"/>
        <v>6758975</v>
      </c>
      <c r="F64" s="67">
        <f t="shared" si="5"/>
        <v>402214</v>
      </c>
      <c r="G64" s="67">
        <f t="shared" si="5"/>
        <v>0</v>
      </c>
      <c r="H64" s="67">
        <f t="shared" si="5"/>
        <v>0</v>
      </c>
      <c r="I64" s="67">
        <f t="shared" si="5"/>
        <v>0</v>
      </c>
      <c r="J64" s="67">
        <f t="shared" si="5"/>
        <v>6364265</v>
      </c>
      <c r="K64" s="67">
        <f t="shared" si="5"/>
        <v>0</v>
      </c>
    </row>
    <row r="65" ht="12.75">
      <c r="D65" s="32"/>
    </row>
    <row r="66" spans="5:11" ht="12.75">
      <c r="E66" s="32"/>
      <c r="F66" s="32"/>
      <c r="K66" t="s">
        <v>231</v>
      </c>
    </row>
    <row r="67" spans="5:11" ht="12.75">
      <c r="E67" s="32"/>
      <c r="K67" t="s">
        <v>232</v>
      </c>
    </row>
    <row r="69" ht="12.75">
      <c r="K69" t="s">
        <v>233</v>
      </c>
    </row>
  </sheetData>
  <sheetProtection/>
  <mergeCells count="15">
    <mergeCell ref="G1:J4"/>
    <mergeCell ref="A6:J6"/>
    <mergeCell ref="E8:K8"/>
    <mergeCell ref="E9:E10"/>
    <mergeCell ref="F9:J9"/>
    <mergeCell ref="K9:K10"/>
    <mergeCell ref="A64:C64"/>
    <mergeCell ref="D8:D10"/>
    <mergeCell ref="A8:A10"/>
    <mergeCell ref="B8:B10"/>
    <mergeCell ref="C8:C10"/>
    <mergeCell ref="A22:C22"/>
    <mergeCell ref="A36:C36"/>
    <mergeCell ref="A63:C63"/>
    <mergeCell ref="A17:C17"/>
  </mergeCells>
  <printOptions horizontalCentered="1"/>
  <pageMargins left="0.5511811023622047" right="0.27" top="0.63" bottom="0.3937007874015748" header="0.28" footer="0.5118110236220472"/>
  <pageSetup fitToHeight="2" fitToWidth="1" horizontalDpi="300" verticalDpi="3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D32"/>
  <sheetViews>
    <sheetView view="pageBreakPreview" zoomScaleSheetLayoutView="100" workbookViewId="0" topLeftCell="F19">
      <selection activeCell="M32" sqref="M32"/>
    </sheetView>
  </sheetViews>
  <sheetFormatPr defaultColWidth="9.00390625" defaultRowHeight="12.75"/>
  <cols>
    <col min="1" max="1" width="18.625" style="1" customWidth="1"/>
    <col min="2" max="2" width="7.25390625" style="1" customWidth="1"/>
    <col min="3" max="3" width="9.00390625" style="1" customWidth="1"/>
    <col min="4" max="4" width="15.625" style="1" customWidth="1"/>
    <col min="5" max="5" width="7.625" style="22" customWidth="1"/>
    <col min="6" max="6" width="14.125" style="1" customWidth="1"/>
    <col min="7" max="7" width="14.375" style="1" customWidth="1"/>
    <col min="8" max="8" width="15.875" style="1" customWidth="1"/>
    <col min="9" max="9" width="10.375" style="0" customWidth="1"/>
    <col min="10" max="10" width="13.625" style="0" customWidth="1"/>
    <col min="11" max="12" width="13.00390625" style="0" customWidth="1"/>
    <col min="13" max="13" width="14.625" style="0" customWidth="1"/>
    <col min="83" max="16384" width="9.125" style="1" customWidth="1"/>
  </cols>
  <sheetData>
    <row r="1" spans="11:13" ht="12.75" customHeight="1">
      <c r="K1" s="120" t="s">
        <v>225</v>
      </c>
      <c r="L1" s="120"/>
      <c r="M1" s="120"/>
    </row>
    <row r="2" spans="11:13" ht="12.75">
      <c r="K2" s="120"/>
      <c r="L2" s="120"/>
      <c r="M2" s="120"/>
    </row>
    <row r="3" spans="11:13" ht="12.75">
      <c r="K3" s="120"/>
      <c r="L3" s="120"/>
      <c r="M3" s="120"/>
    </row>
    <row r="4" spans="11:13" ht="31.5" customHeight="1">
      <c r="K4" s="120"/>
      <c r="L4" s="120"/>
      <c r="M4" s="120"/>
    </row>
    <row r="5" spans="1:13" ht="45" customHeight="1">
      <c r="A5" s="121" t="s">
        <v>216</v>
      </c>
      <c r="B5" s="121"/>
      <c r="C5" s="121"/>
      <c r="D5" s="121"/>
      <c r="E5" s="121"/>
      <c r="F5" s="121"/>
      <c r="G5" s="121"/>
      <c r="H5" s="121"/>
      <c r="I5" s="121"/>
      <c r="J5" s="121"/>
      <c r="K5" s="121"/>
      <c r="L5" s="17"/>
      <c r="M5" s="17"/>
    </row>
    <row r="7" ht="12.75">
      <c r="M7" s="11" t="s">
        <v>84</v>
      </c>
    </row>
    <row r="8" spans="1:82" ht="20.25" customHeight="1">
      <c r="A8" s="123" t="s">
        <v>118</v>
      </c>
      <c r="B8" s="111" t="s">
        <v>72</v>
      </c>
      <c r="C8" s="126" t="s">
        <v>73</v>
      </c>
      <c r="D8" s="112" t="s">
        <v>119</v>
      </c>
      <c r="E8" s="99" t="s">
        <v>74</v>
      </c>
      <c r="F8" s="112" t="s">
        <v>97</v>
      </c>
      <c r="G8" s="112" t="s">
        <v>90</v>
      </c>
      <c r="H8" s="112"/>
      <c r="I8" s="112"/>
      <c r="J8" s="112"/>
      <c r="K8" s="112"/>
      <c r="L8" s="112"/>
      <c r="M8" s="112"/>
      <c r="CA8" s="1"/>
      <c r="CB8" s="1"/>
      <c r="CC8" s="1"/>
      <c r="CD8" s="1"/>
    </row>
    <row r="9" spans="1:82" ht="18" customHeight="1">
      <c r="A9" s="124"/>
      <c r="B9" s="111"/>
      <c r="C9" s="127"/>
      <c r="D9" s="111"/>
      <c r="E9" s="122"/>
      <c r="F9" s="112"/>
      <c r="G9" s="112" t="s">
        <v>95</v>
      </c>
      <c r="H9" s="96" t="s">
        <v>75</v>
      </c>
      <c r="I9" s="97"/>
      <c r="J9" s="97"/>
      <c r="K9" s="97"/>
      <c r="L9" s="98"/>
      <c r="M9" s="112" t="s">
        <v>96</v>
      </c>
      <c r="CA9" s="1"/>
      <c r="CB9" s="1"/>
      <c r="CC9" s="1"/>
      <c r="CD9" s="1"/>
    </row>
    <row r="10" spans="1:82" ht="69" customHeight="1">
      <c r="A10" s="125"/>
      <c r="B10" s="111"/>
      <c r="C10" s="128"/>
      <c r="D10" s="111"/>
      <c r="E10" s="122"/>
      <c r="F10" s="112"/>
      <c r="G10" s="112"/>
      <c r="H10" s="5" t="s">
        <v>217</v>
      </c>
      <c r="I10" s="5" t="s">
        <v>94</v>
      </c>
      <c r="J10" s="5" t="s">
        <v>120</v>
      </c>
      <c r="K10" s="5" t="s">
        <v>121</v>
      </c>
      <c r="L10" s="5" t="s">
        <v>218</v>
      </c>
      <c r="M10" s="112"/>
      <c r="CA10" s="1"/>
      <c r="CB10" s="1"/>
      <c r="CC10" s="1"/>
      <c r="CD10" s="1"/>
    </row>
    <row r="11" spans="1:82" ht="8.25" customHeight="1">
      <c r="A11" s="6">
        <v>1</v>
      </c>
      <c r="B11" s="6">
        <v>2</v>
      </c>
      <c r="C11" s="6">
        <v>3</v>
      </c>
      <c r="D11" s="6">
        <v>4</v>
      </c>
      <c r="E11" s="6">
        <v>5</v>
      </c>
      <c r="F11" s="6">
        <v>6</v>
      </c>
      <c r="G11" s="6">
        <v>7</v>
      </c>
      <c r="H11" s="6">
        <v>8</v>
      </c>
      <c r="I11" s="6">
        <v>10</v>
      </c>
      <c r="J11" s="6">
        <v>11</v>
      </c>
      <c r="K11" s="6">
        <v>12</v>
      </c>
      <c r="L11" s="6">
        <v>13</v>
      </c>
      <c r="M11" s="6">
        <v>14</v>
      </c>
      <c r="CA11" s="1"/>
      <c r="CB11" s="1"/>
      <c r="CC11" s="1"/>
      <c r="CD11" s="1"/>
    </row>
    <row r="12" spans="1:82" ht="50.25" customHeight="1">
      <c r="A12" s="95" t="s">
        <v>122</v>
      </c>
      <c r="B12" s="95"/>
      <c r="C12" s="95"/>
      <c r="D12" s="21">
        <f>+D13</f>
        <v>0</v>
      </c>
      <c r="E12" s="21" t="s">
        <v>149</v>
      </c>
      <c r="F12" s="66">
        <f>F13+F14+F15+F16+F17+F18</f>
        <v>948521</v>
      </c>
      <c r="G12" s="66">
        <f aca="true" t="shared" si="0" ref="G12:L12">G13+G14+G15+G16+G17+G18</f>
        <v>82480</v>
      </c>
      <c r="H12" s="66">
        <f t="shared" si="0"/>
        <v>0</v>
      </c>
      <c r="I12" s="66">
        <f t="shared" si="0"/>
        <v>82480</v>
      </c>
      <c r="J12" s="66">
        <f t="shared" si="0"/>
        <v>0</v>
      </c>
      <c r="K12" s="66">
        <f t="shared" si="0"/>
        <v>0</v>
      </c>
      <c r="L12" s="66">
        <f t="shared" si="0"/>
        <v>0</v>
      </c>
      <c r="M12" s="66">
        <f>M13+M14+M15+M16+M17+M18</f>
        <v>866041</v>
      </c>
      <c r="CA12" s="1"/>
      <c r="CB12" s="1"/>
      <c r="CC12" s="1"/>
      <c r="CD12" s="1"/>
    </row>
    <row r="13" spans="1:82" ht="117.75" customHeight="1">
      <c r="A13" s="27" t="s">
        <v>47</v>
      </c>
      <c r="B13" s="7">
        <v>600</v>
      </c>
      <c r="C13" s="7">
        <v>60013</v>
      </c>
      <c r="D13" s="21">
        <v>0</v>
      </c>
      <c r="E13" s="69">
        <v>6050</v>
      </c>
      <c r="F13" s="66">
        <f>170000+26000</f>
        <v>196000</v>
      </c>
      <c r="G13" s="66">
        <v>0</v>
      </c>
      <c r="H13" s="66">
        <v>0</v>
      </c>
      <c r="I13" s="66">
        <v>0</v>
      </c>
      <c r="J13" s="66">
        <v>0</v>
      </c>
      <c r="K13" s="66">
        <v>0</v>
      </c>
      <c r="L13" s="66">
        <v>0</v>
      </c>
      <c r="M13" s="66">
        <f>F13</f>
        <v>196000</v>
      </c>
      <c r="CA13" s="1"/>
      <c r="CB13" s="1"/>
      <c r="CC13" s="1"/>
      <c r="CD13" s="1"/>
    </row>
    <row r="14" spans="1:82" ht="78.75" customHeight="1">
      <c r="A14" s="27" t="s">
        <v>150</v>
      </c>
      <c r="B14" s="7">
        <v>600</v>
      </c>
      <c r="C14" s="7">
        <v>60013</v>
      </c>
      <c r="D14" s="21">
        <v>0</v>
      </c>
      <c r="E14" s="69">
        <v>6050</v>
      </c>
      <c r="F14" s="66">
        <f>30000-4000</f>
        <v>26000</v>
      </c>
      <c r="G14" s="66">
        <v>0</v>
      </c>
      <c r="H14" s="66">
        <v>0</v>
      </c>
      <c r="I14" s="66">
        <v>0</v>
      </c>
      <c r="J14" s="66">
        <v>0</v>
      </c>
      <c r="K14" s="66">
        <v>0</v>
      </c>
      <c r="L14" s="66">
        <v>0</v>
      </c>
      <c r="M14" s="66">
        <f>F14</f>
        <v>26000</v>
      </c>
      <c r="CA14" s="1"/>
      <c r="CB14" s="1"/>
      <c r="CC14" s="1"/>
      <c r="CD14" s="1"/>
    </row>
    <row r="15" spans="1:82" ht="78.75" customHeight="1">
      <c r="A15" s="27" t="s">
        <v>53</v>
      </c>
      <c r="B15" s="7">
        <v>600</v>
      </c>
      <c r="C15" s="7">
        <v>60013</v>
      </c>
      <c r="D15" s="21">
        <v>0</v>
      </c>
      <c r="E15" s="69">
        <v>6050</v>
      </c>
      <c r="F15" s="66">
        <v>6000</v>
      </c>
      <c r="G15" s="66">
        <v>0</v>
      </c>
      <c r="H15" s="66">
        <v>0</v>
      </c>
      <c r="I15" s="66">
        <v>0</v>
      </c>
      <c r="J15" s="66">
        <v>0</v>
      </c>
      <c r="K15" s="66">
        <v>0</v>
      </c>
      <c r="L15" s="66">
        <v>0</v>
      </c>
      <c r="M15" s="66">
        <v>6000</v>
      </c>
      <c r="CA15" s="1"/>
      <c r="CB15" s="1"/>
      <c r="CC15" s="1"/>
      <c r="CD15" s="1"/>
    </row>
    <row r="16" spans="1:82" ht="111.75" customHeight="1">
      <c r="A16" s="27" t="s">
        <v>40</v>
      </c>
      <c r="B16" s="7">
        <v>600</v>
      </c>
      <c r="C16" s="7">
        <v>60013</v>
      </c>
      <c r="D16" s="21">
        <v>0</v>
      </c>
      <c r="E16" s="69">
        <v>2710</v>
      </c>
      <c r="F16" s="66">
        <f>50000+32480</f>
        <v>82480</v>
      </c>
      <c r="G16" s="66">
        <f>F16</f>
        <v>82480</v>
      </c>
      <c r="H16" s="66">
        <v>0</v>
      </c>
      <c r="I16" s="66">
        <f>F16</f>
        <v>82480</v>
      </c>
      <c r="J16" s="66">
        <v>0</v>
      </c>
      <c r="K16" s="66">
        <v>0</v>
      </c>
      <c r="L16" s="66">
        <v>0</v>
      </c>
      <c r="M16" s="66">
        <v>0</v>
      </c>
      <c r="CA16" s="1"/>
      <c r="CB16" s="1"/>
      <c r="CC16" s="1"/>
      <c r="CD16" s="1"/>
    </row>
    <row r="17" spans="1:82" ht="202.5" customHeight="1">
      <c r="A17" s="27" t="s">
        <v>54</v>
      </c>
      <c r="B17" s="7">
        <v>600</v>
      </c>
      <c r="C17" s="7">
        <v>60014</v>
      </c>
      <c r="D17" s="21">
        <v>0</v>
      </c>
      <c r="E17" s="69">
        <v>6620</v>
      </c>
      <c r="F17" s="66">
        <f>150179+76000+336862</f>
        <v>563041</v>
      </c>
      <c r="G17" s="66">
        <v>0</v>
      </c>
      <c r="H17" s="66">
        <v>0</v>
      </c>
      <c r="I17" s="66">
        <v>0</v>
      </c>
      <c r="J17" s="66">
        <v>0</v>
      </c>
      <c r="K17" s="66">
        <v>0</v>
      </c>
      <c r="L17" s="66">
        <v>0</v>
      </c>
      <c r="M17" s="66">
        <f>F17</f>
        <v>563041</v>
      </c>
      <c r="CA17" s="1"/>
      <c r="CB17" s="1"/>
      <c r="CC17" s="1"/>
      <c r="CD17" s="1"/>
    </row>
    <row r="18" spans="1:82" ht="95.25" customHeight="1">
      <c r="A18" s="27" t="s">
        <v>16</v>
      </c>
      <c r="B18" s="7">
        <v>926</v>
      </c>
      <c r="C18" s="7">
        <v>92601</v>
      </c>
      <c r="D18" s="21">
        <v>0</v>
      </c>
      <c r="E18" s="69">
        <v>6620</v>
      </c>
      <c r="F18" s="66">
        <v>75000</v>
      </c>
      <c r="G18" s="66">
        <v>0</v>
      </c>
      <c r="H18" s="66">
        <v>0</v>
      </c>
      <c r="I18" s="66">
        <v>0</v>
      </c>
      <c r="J18" s="66">
        <v>0</v>
      </c>
      <c r="K18" s="66">
        <v>0</v>
      </c>
      <c r="L18" s="66">
        <v>0</v>
      </c>
      <c r="M18" s="66">
        <v>75000</v>
      </c>
      <c r="CA18" s="1"/>
      <c r="CB18" s="1"/>
      <c r="CC18" s="1"/>
      <c r="CD18" s="1"/>
    </row>
    <row r="19" spans="1:82" ht="51" customHeight="1">
      <c r="A19" s="95" t="s">
        <v>123</v>
      </c>
      <c r="B19" s="95"/>
      <c r="C19" s="95"/>
      <c r="D19" s="66"/>
      <c r="E19" s="69" t="s">
        <v>149</v>
      </c>
      <c r="F19" s="70"/>
      <c r="G19" s="70"/>
      <c r="H19" s="70"/>
      <c r="I19" s="71"/>
      <c r="J19" s="71"/>
      <c r="K19" s="71"/>
      <c r="L19" s="71"/>
      <c r="M19" s="71"/>
      <c r="CA19" s="1"/>
      <c r="CB19" s="1"/>
      <c r="CC19" s="1"/>
      <c r="CD19" s="1"/>
    </row>
    <row r="20" spans="1:82" ht="19.5" customHeight="1">
      <c r="A20" s="27"/>
      <c r="B20" s="27"/>
      <c r="C20" s="27"/>
      <c r="D20" s="66"/>
      <c r="E20" s="69"/>
      <c r="F20" s="70"/>
      <c r="G20" s="70"/>
      <c r="H20" s="70"/>
      <c r="I20" s="71"/>
      <c r="J20" s="71"/>
      <c r="K20" s="71"/>
      <c r="L20" s="71"/>
      <c r="M20" s="71"/>
      <c r="CA20" s="1"/>
      <c r="CB20" s="1"/>
      <c r="CC20" s="1"/>
      <c r="CD20" s="1"/>
    </row>
    <row r="21" spans="1:13" ht="51" customHeight="1">
      <c r="A21" s="95" t="s">
        <v>124</v>
      </c>
      <c r="B21" s="95"/>
      <c r="C21" s="95"/>
      <c r="D21" s="66">
        <f>D22+D23+D25+D26</f>
        <v>80000</v>
      </c>
      <c r="E21" s="69" t="s">
        <v>149</v>
      </c>
      <c r="F21" s="66">
        <f>F22+F23+F25+F26+F24</f>
        <v>92002</v>
      </c>
      <c r="G21" s="66">
        <f aca="true" t="shared" si="1" ref="G21:M21">G22+G23+G25+G26+G24</f>
        <v>92002</v>
      </c>
      <c r="H21" s="66">
        <f t="shared" si="1"/>
        <v>0</v>
      </c>
      <c r="I21" s="66">
        <f t="shared" si="1"/>
        <v>0</v>
      </c>
      <c r="J21" s="66">
        <f t="shared" si="1"/>
        <v>0</v>
      </c>
      <c r="K21" s="66">
        <f t="shared" si="1"/>
        <v>0</v>
      </c>
      <c r="L21" s="66">
        <f t="shared" si="1"/>
        <v>92002</v>
      </c>
      <c r="M21" s="66">
        <f t="shared" si="1"/>
        <v>0</v>
      </c>
    </row>
    <row r="22" spans="1:13" ht="51" customHeight="1">
      <c r="A22" s="27" t="s">
        <v>58</v>
      </c>
      <c r="B22" s="81" t="s">
        <v>133</v>
      </c>
      <c r="C22" s="81" t="s">
        <v>140</v>
      </c>
      <c r="D22" s="66">
        <v>20000</v>
      </c>
      <c r="E22" s="69">
        <v>4300</v>
      </c>
      <c r="F22" s="66">
        <v>25000</v>
      </c>
      <c r="G22" s="66">
        <v>25000</v>
      </c>
      <c r="H22" s="66">
        <v>0</v>
      </c>
      <c r="I22" s="66">
        <v>0</v>
      </c>
      <c r="J22" s="66">
        <v>0</v>
      </c>
      <c r="K22" s="66">
        <v>0</v>
      </c>
      <c r="L22" s="66">
        <v>25000</v>
      </c>
      <c r="M22" s="66">
        <v>0</v>
      </c>
    </row>
    <row r="23" spans="1:13" ht="25.5" customHeight="1">
      <c r="A23" s="89" t="s">
        <v>59</v>
      </c>
      <c r="B23" s="91" t="s">
        <v>133</v>
      </c>
      <c r="C23" s="91" t="s">
        <v>140</v>
      </c>
      <c r="D23" s="93">
        <v>20000</v>
      </c>
      <c r="E23" s="69">
        <v>4300</v>
      </c>
      <c r="F23" s="66">
        <f>10002+7000</f>
        <v>17002</v>
      </c>
      <c r="G23" s="66">
        <f>F23</f>
        <v>17002</v>
      </c>
      <c r="H23" s="66">
        <v>0</v>
      </c>
      <c r="I23" s="66">
        <v>0</v>
      </c>
      <c r="J23" s="66">
        <v>0</v>
      </c>
      <c r="K23" s="66">
        <v>0</v>
      </c>
      <c r="L23" s="66">
        <f>G23</f>
        <v>17002</v>
      </c>
      <c r="M23" s="66">
        <v>0</v>
      </c>
    </row>
    <row r="24" spans="1:13" ht="24.75" customHeight="1">
      <c r="A24" s="90"/>
      <c r="B24" s="92"/>
      <c r="C24" s="92"/>
      <c r="D24" s="94"/>
      <c r="E24" s="69">
        <v>4210</v>
      </c>
      <c r="F24" s="66">
        <f>15000-7000</f>
        <v>8000</v>
      </c>
      <c r="G24" s="66">
        <f>F24</f>
        <v>8000</v>
      </c>
      <c r="H24" s="66">
        <v>0</v>
      </c>
      <c r="I24" s="66">
        <v>0</v>
      </c>
      <c r="J24" s="66">
        <v>0</v>
      </c>
      <c r="K24" s="66">
        <v>0</v>
      </c>
      <c r="L24" s="66">
        <f>G24</f>
        <v>8000</v>
      </c>
      <c r="M24" s="66">
        <v>0</v>
      </c>
    </row>
    <row r="25" spans="1:13" ht="96.75" customHeight="1">
      <c r="A25" s="27" t="s">
        <v>61</v>
      </c>
      <c r="B25" s="81" t="s">
        <v>138</v>
      </c>
      <c r="C25" s="81" t="s">
        <v>139</v>
      </c>
      <c r="D25" s="66">
        <v>20000</v>
      </c>
      <c r="E25" s="69">
        <v>4240</v>
      </c>
      <c r="F25" s="66">
        <v>22000</v>
      </c>
      <c r="G25" s="66">
        <v>22000</v>
      </c>
      <c r="H25" s="66">
        <v>0</v>
      </c>
      <c r="I25" s="66">
        <v>0</v>
      </c>
      <c r="J25" s="66">
        <v>0</v>
      </c>
      <c r="K25" s="66">
        <v>0</v>
      </c>
      <c r="L25" s="66">
        <v>22000</v>
      </c>
      <c r="M25" s="66">
        <v>0</v>
      </c>
    </row>
    <row r="26" spans="1:13" ht="96" customHeight="1">
      <c r="A26" s="27" t="s">
        <v>62</v>
      </c>
      <c r="B26" s="81" t="s">
        <v>138</v>
      </c>
      <c r="C26" s="81" t="s">
        <v>143</v>
      </c>
      <c r="D26" s="66">
        <v>20000</v>
      </c>
      <c r="E26" s="69">
        <v>2650</v>
      </c>
      <c r="F26" s="66">
        <v>20000</v>
      </c>
      <c r="G26" s="66">
        <v>20000</v>
      </c>
      <c r="H26" s="66">
        <v>0</v>
      </c>
      <c r="I26" s="66">
        <v>0</v>
      </c>
      <c r="J26" s="66">
        <v>0</v>
      </c>
      <c r="K26" s="66">
        <v>0</v>
      </c>
      <c r="L26" s="66">
        <v>20000</v>
      </c>
      <c r="M26" s="66">
        <v>0</v>
      </c>
    </row>
    <row r="27" spans="1:13" ht="15">
      <c r="A27" s="114" t="s">
        <v>101</v>
      </c>
      <c r="B27" s="114"/>
      <c r="C27" s="114"/>
      <c r="D27" s="67">
        <f>D21+D19</f>
        <v>80000</v>
      </c>
      <c r="E27" s="67" t="str">
        <f>E12</f>
        <v>X</v>
      </c>
      <c r="F27" s="67">
        <f aca="true" t="shared" si="2" ref="F27:L27">F12+F21+F19</f>
        <v>1040523</v>
      </c>
      <c r="G27" s="67">
        <f t="shared" si="2"/>
        <v>174482</v>
      </c>
      <c r="H27" s="67">
        <f t="shared" si="2"/>
        <v>0</v>
      </c>
      <c r="I27" s="67">
        <f t="shared" si="2"/>
        <v>82480</v>
      </c>
      <c r="J27" s="67">
        <f t="shared" si="2"/>
        <v>0</v>
      </c>
      <c r="K27" s="67">
        <f t="shared" si="2"/>
        <v>0</v>
      </c>
      <c r="L27" s="67">
        <f t="shared" si="2"/>
        <v>92002</v>
      </c>
      <c r="M27" s="67">
        <f>M12+M21+M19</f>
        <v>866041</v>
      </c>
    </row>
    <row r="29" spans="6:13" ht="12.75">
      <c r="F29" s="32"/>
      <c r="G29" s="32"/>
      <c r="M29" t="s">
        <v>231</v>
      </c>
    </row>
    <row r="30" spans="6:13" ht="12.75">
      <c r="F30" s="32"/>
      <c r="M30" t="s">
        <v>232</v>
      </c>
    </row>
    <row r="32" ht="12.75">
      <c r="M32" t="s">
        <v>233</v>
      </c>
    </row>
  </sheetData>
  <sheetProtection/>
  <mergeCells count="20">
    <mergeCell ref="E8:E10"/>
    <mergeCell ref="F8:F10"/>
    <mergeCell ref="A8:A10"/>
    <mergeCell ref="B8:B10"/>
    <mergeCell ref="C8:C10"/>
    <mergeCell ref="D8:D10"/>
    <mergeCell ref="K1:M4"/>
    <mergeCell ref="A21:C21"/>
    <mergeCell ref="A27:C27"/>
    <mergeCell ref="H9:L9"/>
    <mergeCell ref="G8:M8"/>
    <mergeCell ref="A12:C12"/>
    <mergeCell ref="A19:C19"/>
    <mergeCell ref="A5:K5"/>
    <mergeCell ref="G9:G10"/>
    <mergeCell ref="M9:M10"/>
    <mergeCell ref="A23:A24"/>
    <mergeCell ref="B23:B24"/>
    <mergeCell ref="C23:C24"/>
    <mergeCell ref="D23:D24"/>
  </mergeCells>
  <printOptions horizontalCentered="1"/>
  <pageMargins left="0.5905511811023623" right="0.5905511811023623" top="1.1023622047244095" bottom="0.3937007874015748" header="0.5118110236220472" footer="0.5118110236220472"/>
  <pageSetup fitToHeight="2" fitToWidth="1" horizontalDpi="300" verticalDpi="300" orientation="landscape" paperSize="9" scale="6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6"/>
  <sheetViews>
    <sheetView tabSelected="1" workbookViewId="0" topLeftCell="B1">
      <selection activeCell="M26" sqref="M26"/>
    </sheetView>
  </sheetViews>
  <sheetFormatPr defaultColWidth="9.00390625" defaultRowHeight="12.75"/>
  <cols>
    <col min="1" max="1" width="4.75390625" style="0" customWidth="1"/>
    <col min="2" max="2" width="25.375" style="0" customWidth="1"/>
    <col min="3" max="3" width="7.875" style="0" customWidth="1"/>
    <col min="4" max="4" width="9.375" style="0" bestFit="1" customWidth="1"/>
    <col min="5" max="5" width="15.00390625" style="0" customWidth="1"/>
    <col min="7" max="9" width="9.625" style="0" customWidth="1"/>
    <col min="10" max="10" width="9.25390625" style="0" customWidth="1"/>
    <col min="11" max="12" width="10.125" style="0" customWidth="1"/>
    <col min="13" max="13" width="14.375" style="0" customWidth="1"/>
  </cols>
  <sheetData>
    <row r="1" spans="10:13" ht="12.75" customHeight="1">
      <c r="J1" s="120" t="s">
        <v>226</v>
      </c>
      <c r="K1" s="120"/>
      <c r="L1" s="120"/>
      <c r="M1" s="120"/>
    </row>
    <row r="2" spans="10:13" ht="12.75">
      <c r="J2" s="120"/>
      <c r="K2" s="120"/>
      <c r="L2" s="120"/>
      <c r="M2" s="120"/>
    </row>
    <row r="3" spans="10:13" ht="12.75" customHeight="1">
      <c r="J3" s="120"/>
      <c r="K3" s="120"/>
      <c r="L3" s="120"/>
      <c r="M3" s="120"/>
    </row>
    <row r="4" spans="10:13" ht="12.75">
      <c r="J4" s="120"/>
      <c r="K4" s="120"/>
      <c r="L4" s="120"/>
      <c r="M4" s="120"/>
    </row>
    <row r="5" spans="10:13" ht="12.75">
      <c r="J5" s="120"/>
      <c r="K5" s="120"/>
      <c r="L5" s="120"/>
      <c r="M5" s="120"/>
    </row>
    <row r="6" spans="10:13" ht="12.75">
      <c r="J6" s="73"/>
      <c r="K6" s="73"/>
      <c r="L6" s="73"/>
      <c r="M6" s="73"/>
    </row>
    <row r="7" spans="1:13" ht="16.5">
      <c r="A7" s="134" t="s">
        <v>188</v>
      </c>
      <c r="B7" s="134"/>
      <c r="C7" s="134"/>
      <c r="D7" s="134"/>
      <c r="E7" s="134"/>
      <c r="F7" s="134"/>
      <c r="G7" s="134"/>
      <c r="H7" s="134"/>
      <c r="I7" s="134"/>
      <c r="J7" s="134"/>
      <c r="K7" s="134"/>
      <c r="L7" s="134"/>
      <c r="M7" s="134"/>
    </row>
    <row r="8" spans="1:13" ht="16.5">
      <c r="A8" s="134"/>
      <c r="B8" s="134"/>
      <c r="C8" s="134"/>
      <c r="D8" s="134"/>
      <c r="E8" s="134"/>
      <c r="F8" s="134"/>
      <c r="G8" s="134"/>
      <c r="H8" s="134"/>
      <c r="I8" s="134"/>
      <c r="J8" s="134"/>
      <c r="K8" s="134"/>
      <c r="L8" s="134"/>
      <c r="M8" s="134"/>
    </row>
    <row r="9" spans="1:13" ht="13.5" customHeight="1">
      <c r="A9" s="14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</row>
    <row r="10" spans="1:13" ht="12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3" t="s">
        <v>84</v>
      </c>
    </row>
    <row r="11" spans="1:13" ht="15" customHeight="1">
      <c r="A11" s="111" t="s">
        <v>85</v>
      </c>
      <c r="B11" s="111" t="s">
        <v>109</v>
      </c>
      <c r="C11" s="112" t="s">
        <v>72</v>
      </c>
      <c r="D11" s="123" t="s">
        <v>73</v>
      </c>
      <c r="E11" s="112" t="s">
        <v>111</v>
      </c>
      <c r="F11" s="96" t="s">
        <v>113</v>
      </c>
      <c r="G11" s="97"/>
      <c r="H11" s="97"/>
      <c r="I11" s="98"/>
      <c r="J11" s="96" t="s">
        <v>115</v>
      </c>
      <c r="K11" s="97"/>
      <c r="L11" s="98"/>
      <c r="M11" s="112" t="s">
        <v>117</v>
      </c>
    </row>
    <row r="12" spans="1:13" ht="25.5" customHeight="1">
      <c r="A12" s="111"/>
      <c r="B12" s="111"/>
      <c r="C12" s="112"/>
      <c r="D12" s="124"/>
      <c r="E12" s="112"/>
      <c r="F12" s="112" t="s">
        <v>125</v>
      </c>
      <c r="G12" s="129" t="s">
        <v>126</v>
      </c>
      <c r="H12" s="130"/>
      <c r="I12" s="131"/>
      <c r="J12" s="112" t="s">
        <v>125</v>
      </c>
      <c r="K12" s="129" t="s">
        <v>189</v>
      </c>
      <c r="L12" s="131"/>
      <c r="M12" s="112"/>
    </row>
    <row r="13" spans="1:13" ht="23.25" customHeight="1">
      <c r="A13" s="111"/>
      <c r="B13" s="111"/>
      <c r="C13" s="112"/>
      <c r="D13" s="124"/>
      <c r="E13" s="112"/>
      <c r="F13" s="112"/>
      <c r="G13" s="112" t="s">
        <v>190</v>
      </c>
      <c r="H13" s="112"/>
      <c r="I13" s="132" t="s">
        <v>191</v>
      </c>
      <c r="J13" s="112"/>
      <c r="K13" s="112" t="s">
        <v>192</v>
      </c>
      <c r="L13" s="103" t="s">
        <v>193</v>
      </c>
      <c r="M13" s="112"/>
    </row>
    <row r="14" spans="1:13" ht="35.25" customHeight="1">
      <c r="A14" s="111"/>
      <c r="B14" s="111"/>
      <c r="C14" s="112"/>
      <c r="D14" s="125"/>
      <c r="E14" s="112"/>
      <c r="F14" s="112"/>
      <c r="G14" s="62" t="s">
        <v>194</v>
      </c>
      <c r="H14" s="62" t="s">
        <v>195</v>
      </c>
      <c r="I14" s="133"/>
      <c r="J14" s="112"/>
      <c r="K14" s="112"/>
      <c r="L14" s="103"/>
      <c r="M14" s="112"/>
    </row>
    <row r="15" spans="1:13" ht="7.5" customHeight="1">
      <c r="A15" s="6">
        <v>1</v>
      </c>
      <c r="B15" s="6">
        <v>2</v>
      </c>
      <c r="C15" s="6">
        <v>3</v>
      </c>
      <c r="D15" s="6">
        <v>4</v>
      </c>
      <c r="E15" s="6">
        <v>5</v>
      </c>
      <c r="F15" s="6">
        <v>6</v>
      </c>
      <c r="G15" s="6">
        <v>7</v>
      </c>
      <c r="H15" s="6">
        <v>8</v>
      </c>
      <c r="I15" s="6">
        <v>9</v>
      </c>
      <c r="J15" s="6">
        <v>10</v>
      </c>
      <c r="K15" s="6">
        <v>11</v>
      </c>
      <c r="L15" s="6">
        <v>12</v>
      </c>
      <c r="M15" s="6">
        <v>13</v>
      </c>
    </row>
    <row r="16" spans="1:14" ht="21.75" customHeight="1">
      <c r="A16" s="8">
        <v>1</v>
      </c>
      <c r="B16" s="23" t="s">
        <v>196</v>
      </c>
      <c r="C16" s="63">
        <v>801</v>
      </c>
      <c r="D16" s="23">
        <v>80104</v>
      </c>
      <c r="E16" s="64">
        <v>5618</v>
      </c>
      <c r="F16" s="64">
        <f>2527169+9000+20000+50000</f>
        <v>2606169</v>
      </c>
      <c r="G16" s="64">
        <f>1919719+20000+50000</f>
        <v>1989719</v>
      </c>
      <c r="H16" s="64">
        <v>0</v>
      </c>
      <c r="I16" s="64">
        <v>9000</v>
      </c>
      <c r="J16" s="64">
        <f>2524223+9000+20000+50000</f>
        <v>2603223</v>
      </c>
      <c r="K16" s="64">
        <v>0</v>
      </c>
      <c r="L16" s="64">
        <v>9000</v>
      </c>
      <c r="M16" s="64">
        <v>8564</v>
      </c>
      <c r="N16" s="61"/>
    </row>
    <row r="17" spans="1:14" ht="21.75" customHeight="1">
      <c r="A17" s="8">
        <v>2</v>
      </c>
      <c r="B17" s="23" t="s">
        <v>145</v>
      </c>
      <c r="C17" s="63">
        <v>926</v>
      </c>
      <c r="D17" s="23">
        <v>92604</v>
      </c>
      <c r="E17" s="64">
        <v>55047</v>
      </c>
      <c r="F17" s="64">
        <f>1554960+25000</f>
        <v>1579960</v>
      </c>
      <c r="G17" s="64">
        <f>658560</f>
        <v>658560</v>
      </c>
      <c r="H17" s="64">
        <v>0</v>
      </c>
      <c r="I17" s="64">
        <v>25000</v>
      </c>
      <c r="J17" s="64">
        <f>1553364+25000</f>
        <v>1578364</v>
      </c>
      <c r="K17" s="64">
        <v>0</v>
      </c>
      <c r="L17" s="64">
        <v>25000</v>
      </c>
      <c r="M17" s="64">
        <v>56643</v>
      </c>
      <c r="N17" s="61"/>
    </row>
    <row r="18" spans="1:13" s="12" customFormat="1" ht="21.75" customHeight="1">
      <c r="A18" s="116" t="s">
        <v>101</v>
      </c>
      <c r="B18" s="116"/>
      <c r="C18" s="13"/>
      <c r="D18" s="13"/>
      <c r="E18" s="65">
        <f>E17+E16</f>
        <v>60665</v>
      </c>
      <c r="F18" s="65">
        <f aca="true" t="shared" si="0" ref="F18:M18">F17+F16</f>
        <v>4186129</v>
      </c>
      <c r="G18" s="65">
        <f t="shared" si="0"/>
        <v>2648279</v>
      </c>
      <c r="H18" s="65">
        <f t="shared" si="0"/>
        <v>0</v>
      </c>
      <c r="I18" s="65">
        <f t="shared" si="0"/>
        <v>34000</v>
      </c>
      <c r="J18" s="65">
        <f t="shared" si="0"/>
        <v>4181587</v>
      </c>
      <c r="K18" s="65">
        <f t="shared" si="0"/>
        <v>0</v>
      </c>
      <c r="L18" s="65">
        <f t="shared" si="0"/>
        <v>34000</v>
      </c>
      <c r="M18" s="65">
        <f t="shared" si="0"/>
        <v>65207</v>
      </c>
    </row>
    <row r="19" ht="4.5" customHeight="1"/>
    <row r="21" ht="12.75">
      <c r="E21" s="61"/>
    </row>
    <row r="23" ht="12.75">
      <c r="M23" t="s">
        <v>231</v>
      </c>
    </row>
    <row r="24" ht="12.75">
      <c r="M24" t="s">
        <v>232</v>
      </c>
    </row>
    <row r="26" ht="12.75">
      <c r="M26" t="s">
        <v>233</v>
      </c>
    </row>
  </sheetData>
  <mergeCells count="20">
    <mergeCell ref="L13:L14"/>
    <mergeCell ref="A7:M7"/>
    <mergeCell ref="A8:M8"/>
    <mergeCell ref="A11:A14"/>
    <mergeCell ref="B11:B14"/>
    <mergeCell ref="C11:C14"/>
    <mergeCell ref="D11:D14"/>
    <mergeCell ref="E11:E14"/>
    <mergeCell ref="F11:I11"/>
    <mergeCell ref="J11:L11"/>
    <mergeCell ref="J1:M5"/>
    <mergeCell ref="A18:B18"/>
    <mergeCell ref="M11:M14"/>
    <mergeCell ref="F12:F14"/>
    <mergeCell ref="G12:I12"/>
    <mergeCell ref="J12:J14"/>
    <mergeCell ref="K12:L12"/>
    <mergeCell ref="G13:H13"/>
    <mergeCell ref="I13:I14"/>
    <mergeCell ref="K13:K14"/>
  </mergeCells>
  <printOptions/>
  <pageMargins left="0.2" right="0.2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1"/>
  <sheetViews>
    <sheetView workbookViewId="0" topLeftCell="A1">
      <selection activeCell="E1" sqref="E1:F4"/>
    </sheetView>
  </sheetViews>
  <sheetFormatPr defaultColWidth="9.00390625" defaultRowHeight="12.75"/>
  <cols>
    <col min="1" max="1" width="4.125" style="0" customWidth="1"/>
    <col min="2" max="2" width="8.125" style="0" customWidth="1"/>
    <col min="3" max="3" width="10.00390625" style="0" customWidth="1"/>
    <col min="4" max="4" width="26.25390625" style="0" customWidth="1"/>
    <col min="5" max="5" width="25.125" style="0" customWidth="1"/>
    <col min="6" max="6" width="15.75390625" style="0" customWidth="1"/>
  </cols>
  <sheetData>
    <row r="1" spans="5:6" ht="12.75">
      <c r="E1" s="120" t="s">
        <v>227</v>
      </c>
      <c r="F1" s="120"/>
    </row>
    <row r="2" spans="5:6" ht="12.75">
      <c r="E2" s="120"/>
      <c r="F2" s="120"/>
    </row>
    <row r="3" spans="5:6" ht="12.75">
      <c r="E3" s="120"/>
      <c r="F3" s="120"/>
    </row>
    <row r="4" spans="5:6" ht="12.75">
      <c r="E4" s="120"/>
      <c r="F4" s="120"/>
    </row>
    <row r="6" spans="1:6" ht="19.5" customHeight="1">
      <c r="A6" s="138" t="s">
        <v>12</v>
      </c>
      <c r="B6" s="138"/>
      <c r="C6" s="138"/>
      <c r="D6" s="138"/>
      <c r="E6" s="138"/>
      <c r="F6" s="138"/>
    </row>
    <row r="7" spans="4:6" ht="19.5" customHeight="1">
      <c r="D7" s="14"/>
      <c r="E7" s="14"/>
      <c r="F7" s="14"/>
    </row>
    <row r="8" spans="4:6" ht="19.5" customHeight="1">
      <c r="D8" s="1"/>
      <c r="E8" s="1"/>
      <c r="F8" s="24" t="s">
        <v>84</v>
      </c>
    </row>
    <row r="9" spans="1:6" ht="19.5" customHeight="1">
      <c r="A9" s="111" t="s">
        <v>85</v>
      </c>
      <c r="B9" s="111" t="s">
        <v>72</v>
      </c>
      <c r="C9" s="111" t="s">
        <v>73</v>
      </c>
      <c r="D9" s="112" t="s">
        <v>127</v>
      </c>
      <c r="E9" s="112" t="s">
        <v>128</v>
      </c>
      <c r="F9" s="112" t="s">
        <v>129</v>
      </c>
    </row>
    <row r="10" spans="1:6" ht="19.5" customHeight="1">
      <c r="A10" s="111"/>
      <c r="B10" s="111"/>
      <c r="C10" s="111"/>
      <c r="D10" s="112"/>
      <c r="E10" s="112"/>
      <c r="F10" s="112"/>
    </row>
    <row r="11" spans="1:6" ht="19.5" customHeight="1">
      <c r="A11" s="111"/>
      <c r="B11" s="111"/>
      <c r="C11" s="111"/>
      <c r="D11" s="112"/>
      <c r="E11" s="112"/>
      <c r="F11" s="112"/>
    </row>
    <row r="12" spans="1:6" ht="7.5" customHeight="1">
      <c r="A12" s="6">
        <v>1</v>
      </c>
      <c r="B12" s="6">
        <v>2</v>
      </c>
      <c r="C12" s="6">
        <v>3</v>
      </c>
      <c r="D12" s="6">
        <v>4</v>
      </c>
      <c r="E12" s="6">
        <v>5</v>
      </c>
      <c r="F12" s="6">
        <v>6</v>
      </c>
    </row>
    <row r="13" spans="1:6" ht="42.75" customHeight="1">
      <c r="A13" s="25" t="s">
        <v>76</v>
      </c>
      <c r="B13" s="21">
        <v>801</v>
      </c>
      <c r="C13" s="21">
        <v>80104</v>
      </c>
      <c r="D13" s="72" t="s">
        <v>162</v>
      </c>
      <c r="E13" s="52" t="s">
        <v>163</v>
      </c>
      <c r="F13" s="53">
        <f>1919719+20000+50000</f>
        <v>1989719</v>
      </c>
    </row>
    <row r="14" spans="1:6" ht="40.5" customHeight="1">
      <c r="A14" s="25" t="s">
        <v>77</v>
      </c>
      <c r="B14" s="21">
        <v>926</v>
      </c>
      <c r="C14" s="21">
        <v>92604</v>
      </c>
      <c r="D14" s="54" t="s">
        <v>164</v>
      </c>
      <c r="E14" s="52" t="s">
        <v>165</v>
      </c>
      <c r="F14" s="53">
        <v>658560</v>
      </c>
    </row>
    <row r="15" spans="1:6" s="1" customFormat="1" ht="30" customHeight="1">
      <c r="A15" s="135" t="s">
        <v>101</v>
      </c>
      <c r="B15" s="136"/>
      <c r="C15" s="136"/>
      <c r="D15" s="137"/>
      <c r="E15" s="25"/>
      <c r="F15" s="51">
        <f>F14+F13</f>
        <v>2648279</v>
      </c>
    </row>
    <row r="19" ht="12.75">
      <c r="E19" s="61"/>
    </row>
    <row r="21" ht="12.75">
      <c r="E21" s="61"/>
    </row>
  </sheetData>
  <mergeCells count="9">
    <mergeCell ref="E1:F4"/>
    <mergeCell ref="A15:D15"/>
    <mergeCell ref="A6:F6"/>
    <mergeCell ref="F9:F11"/>
    <mergeCell ref="D9:D11"/>
    <mergeCell ref="E9:E11"/>
    <mergeCell ref="A9:A11"/>
    <mergeCell ref="B9:B11"/>
    <mergeCell ref="C9:C11"/>
  </mergeCells>
  <printOptions horizontalCentered="1"/>
  <pageMargins left="0.3937007874015748" right="0.3937007874015748" top="0.76" bottom="0.984251968503937" header="0.5118110236220472" footer="0.5118110236220472"/>
  <pageSetup horizontalDpi="600" verticalDpi="600" orientation="portrait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4"/>
  <sheetViews>
    <sheetView workbookViewId="0" topLeftCell="A1">
      <selection activeCell="D1" sqref="D1:E3"/>
    </sheetView>
  </sheetViews>
  <sheetFormatPr defaultColWidth="9.00390625" defaultRowHeight="12.75"/>
  <cols>
    <col min="1" max="1" width="4.00390625" style="1" customWidth="1"/>
    <col min="2" max="2" width="8.125" style="1" customWidth="1"/>
    <col min="3" max="3" width="9.875" style="1" customWidth="1"/>
    <col min="4" max="4" width="41.625" style="1" customWidth="1"/>
    <col min="5" max="5" width="22.375" style="1" customWidth="1"/>
    <col min="6" max="16384" width="9.125" style="1" customWidth="1"/>
  </cols>
  <sheetData>
    <row r="1" spans="4:5" ht="12.75">
      <c r="D1" s="113" t="s">
        <v>228</v>
      </c>
      <c r="E1" s="113"/>
    </row>
    <row r="2" spans="4:5" ht="12.75">
      <c r="D2" s="113"/>
      <c r="E2" s="113"/>
    </row>
    <row r="3" spans="4:5" ht="32.25" customHeight="1">
      <c r="D3" s="113"/>
      <c r="E3" s="113"/>
    </row>
    <row r="5" spans="1:5" ht="19.5" customHeight="1">
      <c r="A5" s="105" t="s">
        <v>17</v>
      </c>
      <c r="B5" s="105"/>
      <c r="C5" s="105"/>
      <c r="D5" s="105"/>
      <c r="E5" s="105"/>
    </row>
    <row r="6" spans="4:5" ht="19.5" customHeight="1">
      <c r="D6" s="14"/>
      <c r="E6" s="14"/>
    </row>
    <row r="7" ht="19.5" customHeight="1">
      <c r="E7" s="24" t="s">
        <v>84</v>
      </c>
    </row>
    <row r="8" spans="1:5" ht="19.5" customHeight="1">
      <c r="A8" s="16" t="s">
        <v>85</v>
      </c>
      <c r="B8" s="16" t="s">
        <v>72</v>
      </c>
      <c r="C8" s="16" t="s">
        <v>73</v>
      </c>
      <c r="D8" s="16" t="s">
        <v>130</v>
      </c>
      <c r="E8" s="16" t="s">
        <v>131</v>
      </c>
    </row>
    <row r="9" spans="1:5" ht="7.5" customHeight="1">
      <c r="A9" s="6">
        <v>1</v>
      </c>
      <c r="B9" s="6">
        <v>2</v>
      </c>
      <c r="C9" s="6">
        <v>3</v>
      </c>
      <c r="D9" s="6">
        <v>4</v>
      </c>
      <c r="E9" s="6">
        <v>5</v>
      </c>
    </row>
    <row r="10" spans="1:5" ht="42.75" customHeight="1">
      <c r="A10" s="28" t="s">
        <v>76</v>
      </c>
      <c r="B10" s="28">
        <v>801</v>
      </c>
      <c r="C10" s="28">
        <v>80110</v>
      </c>
      <c r="D10" s="52" t="s">
        <v>166</v>
      </c>
      <c r="E10" s="53">
        <v>272800</v>
      </c>
    </row>
    <row r="11" spans="1:5" ht="30" customHeight="1">
      <c r="A11" s="28" t="s">
        <v>77</v>
      </c>
      <c r="B11" s="28">
        <v>921</v>
      </c>
      <c r="C11" s="28">
        <v>92109</v>
      </c>
      <c r="D11" s="52" t="s">
        <v>168</v>
      </c>
      <c r="E11" s="53">
        <f>672300+20000+2000+5000+20000</f>
        <v>719300</v>
      </c>
    </row>
    <row r="12" spans="1:6" ht="30" customHeight="1">
      <c r="A12" s="28" t="s">
        <v>78</v>
      </c>
      <c r="B12" s="28">
        <v>921</v>
      </c>
      <c r="C12" s="28">
        <v>92116</v>
      </c>
      <c r="D12" s="52" t="s">
        <v>168</v>
      </c>
      <c r="E12" s="53">
        <v>620000</v>
      </c>
      <c r="F12" s="32"/>
    </row>
    <row r="13" spans="1:5" ht="30" customHeight="1">
      <c r="A13" s="28" t="s">
        <v>71</v>
      </c>
      <c r="B13" s="28">
        <v>921</v>
      </c>
      <c r="C13" s="28">
        <v>92118</v>
      </c>
      <c r="D13" s="52" t="s">
        <v>169</v>
      </c>
      <c r="E13" s="53">
        <v>209000</v>
      </c>
    </row>
    <row r="14" spans="1:5" ht="30" customHeight="1">
      <c r="A14" s="139" t="s">
        <v>101</v>
      </c>
      <c r="B14" s="139"/>
      <c r="C14" s="139"/>
      <c r="D14" s="139"/>
      <c r="E14" s="51">
        <f>E13+E12+E11+E10</f>
        <v>1821100</v>
      </c>
    </row>
  </sheetData>
  <mergeCells count="3">
    <mergeCell ref="A5:E5"/>
    <mergeCell ref="A14:D14"/>
    <mergeCell ref="D1:E3"/>
  </mergeCells>
  <printOptions horizontalCentered="1"/>
  <pageMargins left="0.5511811023622047" right="0.5118110236220472" top="1.26" bottom="0.984251968503937" header="0.5118110236220472" footer="0.5118110236220472"/>
  <pageSetup horizontalDpi="600" verticalDpi="600" orientation="portrait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25"/>
  <sheetViews>
    <sheetView workbookViewId="0" topLeftCell="B1">
      <selection activeCell="E1" sqref="E1:F4"/>
    </sheetView>
  </sheetViews>
  <sheetFormatPr defaultColWidth="9.00390625" defaultRowHeight="12.75"/>
  <cols>
    <col min="1" max="1" width="5.25390625" style="0" customWidth="1"/>
    <col min="3" max="3" width="11.00390625" style="0" customWidth="1"/>
    <col min="4" max="4" width="43.875" style="0" customWidth="1"/>
    <col min="5" max="5" width="30.125" style="0" customWidth="1"/>
    <col min="6" max="6" width="19.00390625" style="0" customWidth="1"/>
  </cols>
  <sheetData>
    <row r="1" spans="5:6" ht="12.75">
      <c r="E1" s="120" t="s">
        <v>229</v>
      </c>
      <c r="F1" s="120"/>
    </row>
    <row r="2" spans="5:6" ht="12.75">
      <c r="E2" s="120"/>
      <c r="F2" s="120"/>
    </row>
    <row r="3" spans="5:6" ht="12.75">
      <c r="E3" s="120"/>
      <c r="F3" s="120"/>
    </row>
    <row r="4" spans="5:6" ht="12.75">
      <c r="E4" s="120"/>
      <c r="F4" s="120"/>
    </row>
    <row r="6" spans="1:6" ht="24" customHeight="1">
      <c r="A6" s="140" t="s">
        <v>18</v>
      </c>
      <c r="B6" s="140"/>
      <c r="C6" s="140"/>
      <c r="D6" s="140"/>
      <c r="E6" s="140"/>
      <c r="F6" s="140"/>
    </row>
    <row r="7" spans="4:5" ht="19.5" customHeight="1">
      <c r="D7" s="1"/>
      <c r="E7" s="3" t="s">
        <v>84</v>
      </c>
    </row>
    <row r="8" spans="1:6" ht="19.5" customHeight="1">
      <c r="A8" s="16" t="s">
        <v>85</v>
      </c>
      <c r="B8" s="16" t="s">
        <v>72</v>
      </c>
      <c r="C8" s="16" t="s">
        <v>73</v>
      </c>
      <c r="D8" s="16" t="s">
        <v>118</v>
      </c>
      <c r="E8" s="16" t="s">
        <v>132</v>
      </c>
      <c r="F8" s="16" t="s">
        <v>131</v>
      </c>
    </row>
    <row r="9" spans="1:6" s="29" customFormat="1" ht="7.5" customHeight="1">
      <c r="A9" s="6">
        <v>1</v>
      </c>
      <c r="B9" s="6">
        <v>2</v>
      </c>
      <c r="C9" s="6">
        <v>3</v>
      </c>
      <c r="D9" s="6">
        <v>4</v>
      </c>
      <c r="E9" s="6">
        <v>5</v>
      </c>
      <c r="F9" s="6">
        <v>5</v>
      </c>
    </row>
    <row r="10" spans="1:6" s="29" customFormat="1" ht="27.75" customHeight="1">
      <c r="A10" s="28">
        <v>1</v>
      </c>
      <c r="B10" s="68" t="s">
        <v>133</v>
      </c>
      <c r="C10" s="68" t="s">
        <v>183</v>
      </c>
      <c r="D10" s="54" t="s">
        <v>213</v>
      </c>
      <c r="E10" s="28" t="s">
        <v>214</v>
      </c>
      <c r="F10" s="53">
        <v>100000</v>
      </c>
    </row>
    <row r="11" spans="1:6" s="29" customFormat="1" ht="53.25" customHeight="1">
      <c r="A11" s="28">
        <v>2</v>
      </c>
      <c r="B11" s="68" t="s">
        <v>133</v>
      </c>
      <c r="C11" s="68" t="s">
        <v>183</v>
      </c>
      <c r="D11" s="54" t="s">
        <v>215</v>
      </c>
      <c r="E11" s="28" t="s">
        <v>214</v>
      </c>
      <c r="F11" s="53">
        <v>200000</v>
      </c>
    </row>
    <row r="12" spans="1:6" s="29" customFormat="1" ht="53.25" customHeight="1">
      <c r="A12" s="28">
        <v>3</v>
      </c>
      <c r="B12" s="68" t="s">
        <v>135</v>
      </c>
      <c r="C12" s="68" t="s">
        <v>141</v>
      </c>
      <c r="D12" s="54" t="s">
        <v>40</v>
      </c>
      <c r="E12" s="28" t="s">
        <v>52</v>
      </c>
      <c r="F12" s="53">
        <f>50000+32480</f>
        <v>82480</v>
      </c>
    </row>
    <row r="13" spans="1:6" s="29" customFormat="1" ht="75.75" customHeight="1">
      <c r="A13" s="28">
        <v>4</v>
      </c>
      <c r="B13" s="68" t="s">
        <v>135</v>
      </c>
      <c r="C13" s="68" t="s">
        <v>51</v>
      </c>
      <c r="D13" s="54" t="s">
        <v>54</v>
      </c>
      <c r="E13" s="28" t="s">
        <v>55</v>
      </c>
      <c r="F13" s="53">
        <f>150179+76000+336862</f>
        <v>563041</v>
      </c>
    </row>
    <row r="14" spans="1:6" s="29" customFormat="1" ht="42" customHeight="1">
      <c r="A14" s="28">
        <v>5</v>
      </c>
      <c r="B14" s="68" t="s">
        <v>136</v>
      </c>
      <c r="C14" s="68" t="s">
        <v>142</v>
      </c>
      <c r="D14" s="54" t="s">
        <v>64</v>
      </c>
      <c r="E14" s="28" t="s">
        <v>170</v>
      </c>
      <c r="F14" s="53">
        <v>75000</v>
      </c>
    </row>
    <row r="15" spans="1:6" s="29" customFormat="1" ht="42" customHeight="1">
      <c r="A15" s="28">
        <v>6</v>
      </c>
      <c r="B15" s="68" t="s">
        <v>137</v>
      </c>
      <c r="C15" s="68" t="s">
        <v>22</v>
      </c>
      <c r="D15" s="54" t="s">
        <v>24</v>
      </c>
      <c r="E15" s="74" t="s">
        <v>23</v>
      </c>
      <c r="F15" s="53">
        <v>3500</v>
      </c>
    </row>
    <row r="16" spans="1:6" s="29" customFormat="1" ht="44.25" customHeight="1">
      <c r="A16" s="28">
        <v>7</v>
      </c>
      <c r="B16" s="68" t="s">
        <v>138</v>
      </c>
      <c r="C16" s="68" t="s">
        <v>143</v>
      </c>
      <c r="D16" s="54" t="s">
        <v>65</v>
      </c>
      <c r="E16" s="28" t="s">
        <v>66</v>
      </c>
      <c r="F16" s="53">
        <v>9000</v>
      </c>
    </row>
    <row r="17" spans="1:6" s="29" customFormat="1" ht="53.25" customHeight="1">
      <c r="A17" s="28">
        <v>8</v>
      </c>
      <c r="B17" s="28">
        <v>851</v>
      </c>
      <c r="C17" s="28">
        <v>85121</v>
      </c>
      <c r="D17" s="54" t="s">
        <v>27</v>
      </c>
      <c r="E17" s="74" t="s">
        <v>167</v>
      </c>
      <c r="F17" s="53">
        <v>20000</v>
      </c>
    </row>
    <row r="18" spans="1:7" ht="121.5" customHeight="1">
      <c r="A18" s="28">
        <v>9</v>
      </c>
      <c r="B18" s="82">
        <v>851</v>
      </c>
      <c r="C18" s="82">
        <v>85154</v>
      </c>
      <c r="D18" s="83" t="s">
        <v>68</v>
      </c>
      <c r="E18" s="82" t="s">
        <v>170</v>
      </c>
      <c r="F18" s="84">
        <v>50000</v>
      </c>
      <c r="G18" s="88"/>
    </row>
    <row r="19" spans="1:7" ht="121.5" customHeight="1">
      <c r="A19" s="28">
        <v>10</v>
      </c>
      <c r="B19" s="82">
        <v>851</v>
      </c>
      <c r="C19" s="82">
        <v>85154</v>
      </c>
      <c r="D19" s="83" t="s">
        <v>67</v>
      </c>
      <c r="E19" s="82" t="s">
        <v>170</v>
      </c>
      <c r="F19" s="84">
        <v>16000</v>
      </c>
      <c r="G19" s="85"/>
    </row>
    <row r="20" spans="1:7" ht="94.5" customHeight="1">
      <c r="A20" s="28">
        <v>11</v>
      </c>
      <c r="B20" s="82">
        <v>851</v>
      </c>
      <c r="C20" s="82">
        <v>85154</v>
      </c>
      <c r="D20" s="83" t="s">
        <v>69</v>
      </c>
      <c r="E20" s="82" t="s">
        <v>170</v>
      </c>
      <c r="F20" s="84">
        <v>4000</v>
      </c>
      <c r="G20" s="85"/>
    </row>
    <row r="21" spans="1:7" ht="66.75" customHeight="1">
      <c r="A21" s="28">
        <v>12</v>
      </c>
      <c r="B21" s="82">
        <v>926</v>
      </c>
      <c r="C21" s="82">
        <v>92601</v>
      </c>
      <c r="D21" s="83" t="s">
        <v>16</v>
      </c>
      <c r="E21" s="82" t="s">
        <v>55</v>
      </c>
      <c r="F21" s="84">
        <v>75000</v>
      </c>
      <c r="G21" s="85"/>
    </row>
    <row r="22" spans="1:7" ht="57" customHeight="1">
      <c r="A22" s="28">
        <v>13</v>
      </c>
      <c r="B22" s="82">
        <v>926</v>
      </c>
      <c r="C22" s="82">
        <v>92604</v>
      </c>
      <c r="D22" s="86" t="s">
        <v>184</v>
      </c>
      <c r="E22" s="82" t="s">
        <v>170</v>
      </c>
      <c r="F22" s="84">
        <v>170000</v>
      </c>
      <c r="G22" s="85"/>
    </row>
    <row r="23" spans="1:7" ht="54" customHeight="1">
      <c r="A23" s="28">
        <v>14</v>
      </c>
      <c r="B23" s="82">
        <v>926</v>
      </c>
      <c r="C23" s="82">
        <v>92604</v>
      </c>
      <c r="D23" s="86" t="s">
        <v>39</v>
      </c>
      <c r="E23" s="87" t="s">
        <v>164</v>
      </c>
      <c r="F23" s="84">
        <v>25000</v>
      </c>
      <c r="G23" s="85"/>
    </row>
    <row r="24" spans="1:6" ht="30" customHeight="1">
      <c r="A24" s="139" t="s">
        <v>101</v>
      </c>
      <c r="B24" s="139"/>
      <c r="C24" s="139"/>
      <c r="D24" s="139"/>
      <c r="E24" s="25"/>
      <c r="F24" s="51">
        <f>SUM(F10:F23)</f>
        <v>1393021</v>
      </c>
    </row>
    <row r="25" ht="12.75">
      <c r="F25" s="61"/>
    </row>
    <row r="26" s="30" customFormat="1" ht="12.75"/>
    <row r="27" s="31" customFormat="1" ht="12.75"/>
  </sheetData>
  <mergeCells count="3">
    <mergeCell ref="A24:D24"/>
    <mergeCell ref="E1:F4"/>
    <mergeCell ref="A6:F6"/>
  </mergeCells>
  <printOptions horizontalCentered="1"/>
  <pageMargins left="0.3937007874015748" right="0.3937007874015748" top="0.39" bottom="0.47" header="0.22" footer="0.3"/>
  <pageSetup horizontalDpi="600" verticalDpi="600" orientation="landscape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41"/>
  <sheetViews>
    <sheetView workbookViewId="0" topLeftCell="A1">
      <selection activeCell="C1" sqref="C1:D6"/>
    </sheetView>
  </sheetViews>
  <sheetFormatPr defaultColWidth="9.00390625" defaultRowHeight="12.75"/>
  <cols>
    <col min="1" max="1" width="5.25390625" style="1" bestFit="1" customWidth="1"/>
    <col min="2" max="2" width="63.125" style="1" customWidth="1"/>
    <col min="3" max="3" width="17.75390625" style="1" customWidth="1"/>
    <col min="4" max="16384" width="9.125" style="1" customWidth="1"/>
  </cols>
  <sheetData>
    <row r="1" spans="3:4" ht="12.75" customHeight="1">
      <c r="C1" s="113" t="s">
        <v>230</v>
      </c>
      <c r="D1" s="113"/>
    </row>
    <row r="2" spans="3:4" ht="12.75">
      <c r="C2" s="113"/>
      <c r="D2" s="113"/>
    </row>
    <row r="3" spans="3:4" ht="12.75">
      <c r="C3" s="113"/>
      <c r="D3" s="113"/>
    </row>
    <row r="4" spans="3:4" ht="12.75">
      <c r="C4" s="113"/>
      <c r="D4" s="113"/>
    </row>
    <row r="5" spans="3:4" ht="12.75">
      <c r="C5" s="113"/>
      <c r="D5" s="113"/>
    </row>
    <row r="6" spans="3:4" ht="12.75">
      <c r="C6" s="113"/>
      <c r="D6" s="113"/>
    </row>
    <row r="7" spans="3:4" ht="12.75">
      <c r="C7" s="60"/>
      <c r="D7" s="60"/>
    </row>
    <row r="8" spans="1:10" ht="19.5" customHeight="1">
      <c r="A8" s="141" t="s">
        <v>107</v>
      </c>
      <c r="B8" s="141"/>
      <c r="C8" s="141"/>
      <c r="D8" s="141"/>
      <c r="E8" s="14"/>
      <c r="F8" s="14"/>
      <c r="G8" s="14"/>
      <c r="H8" s="14"/>
      <c r="I8" s="14"/>
      <c r="J8" s="14"/>
    </row>
    <row r="9" spans="1:7" ht="19.5" customHeight="1">
      <c r="A9" s="141" t="s">
        <v>108</v>
      </c>
      <c r="B9" s="141"/>
      <c r="C9" s="141"/>
      <c r="D9" s="141"/>
      <c r="E9" s="14"/>
      <c r="F9" s="14"/>
      <c r="G9" s="14"/>
    </row>
    <row r="11" ht="12.75">
      <c r="C11" s="3" t="s">
        <v>84</v>
      </c>
    </row>
    <row r="12" spans="1:10" ht="19.5" customHeight="1">
      <c r="A12" s="16" t="s">
        <v>85</v>
      </c>
      <c r="B12" s="16" t="s">
        <v>109</v>
      </c>
      <c r="C12" s="16" t="s">
        <v>220</v>
      </c>
      <c r="D12" s="18"/>
      <c r="E12" s="18"/>
      <c r="F12" s="18"/>
      <c r="G12" s="18"/>
      <c r="H12" s="18"/>
      <c r="I12" s="19"/>
      <c r="J12" s="19"/>
    </row>
    <row r="13" spans="1:10" ht="19.5" customHeight="1">
      <c r="A13" s="20" t="s">
        <v>110</v>
      </c>
      <c r="B13" s="15" t="s">
        <v>111</v>
      </c>
      <c r="C13" s="55">
        <v>174530</v>
      </c>
      <c r="D13" s="18"/>
      <c r="E13" s="18"/>
      <c r="F13" s="18"/>
      <c r="G13" s="18"/>
      <c r="H13" s="18"/>
      <c r="I13" s="19"/>
      <c r="J13" s="19"/>
    </row>
    <row r="14" spans="1:10" ht="19.5" customHeight="1">
      <c r="A14" s="20" t="s">
        <v>112</v>
      </c>
      <c r="B14" s="15" t="s">
        <v>113</v>
      </c>
      <c r="C14" s="55">
        <f>C15+C16+C18+C17+C19</f>
        <v>250000</v>
      </c>
      <c r="D14" s="18"/>
      <c r="E14" s="18"/>
      <c r="F14" s="18"/>
      <c r="G14" s="18"/>
      <c r="H14" s="18"/>
      <c r="I14" s="19"/>
      <c r="J14" s="19"/>
    </row>
    <row r="15" spans="1:10" ht="19.5" customHeight="1">
      <c r="A15" s="56">
        <v>1</v>
      </c>
      <c r="B15" s="58" t="s">
        <v>171</v>
      </c>
      <c r="C15" s="57">
        <v>1000</v>
      </c>
      <c r="D15" s="18"/>
      <c r="E15" s="18"/>
      <c r="F15" s="18"/>
      <c r="G15" s="18"/>
      <c r="H15" s="18"/>
      <c r="I15" s="19"/>
      <c r="J15" s="19"/>
    </row>
    <row r="16" spans="1:10" ht="27" customHeight="1">
      <c r="A16" s="56">
        <v>2</v>
      </c>
      <c r="B16" s="54" t="s">
        <v>172</v>
      </c>
      <c r="C16" s="57">
        <v>3000</v>
      </c>
      <c r="D16" s="18"/>
      <c r="E16" s="18"/>
      <c r="F16" s="18"/>
      <c r="G16" s="18"/>
      <c r="H16" s="18"/>
      <c r="I16" s="19"/>
      <c r="J16" s="19"/>
    </row>
    <row r="17" spans="1:10" ht="19.5" customHeight="1">
      <c r="A17" s="56">
        <v>3</v>
      </c>
      <c r="B17" s="58" t="s">
        <v>173</v>
      </c>
      <c r="C17" s="57">
        <v>223000</v>
      </c>
      <c r="D17" s="18"/>
      <c r="E17" s="18"/>
      <c r="F17" s="18"/>
      <c r="G17" s="18"/>
      <c r="H17" s="18"/>
      <c r="I17" s="19"/>
      <c r="J17" s="19"/>
    </row>
    <row r="18" spans="1:10" ht="19.5" customHeight="1">
      <c r="A18" s="56">
        <v>4</v>
      </c>
      <c r="B18" s="58" t="s">
        <v>174</v>
      </c>
      <c r="C18" s="57">
        <v>3000</v>
      </c>
      <c r="D18" s="18"/>
      <c r="E18" s="18"/>
      <c r="F18" s="18"/>
      <c r="G18" s="18"/>
      <c r="H18" s="18"/>
      <c r="I18" s="19"/>
      <c r="J18" s="19"/>
    </row>
    <row r="19" spans="1:10" ht="19.5" customHeight="1">
      <c r="A19" s="56">
        <v>5</v>
      </c>
      <c r="B19" s="58" t="s">
        <v>42</v>
      </c>
      <c r="C19" s="57">
        <v>20000</v>
      </c>
      <c r="D19" s="18"/>
      <c r="E19" s="18"/>
      <c r="F19" s="18"/>
      <c r="G19" s="18"/>
      <c r="H19" s="18"/>
      <c r="I19" s="19"/>
      <c r="J19" s="19"/>
    </row>
    <row r="20" spans="1:10" ht="19.5" customHeight="1">
      <c r="A20" s="20" t="s">
        <v>114</v>
      </c>
      <c r="B20" s="15" t="s">
        <v>115</v>
      </c>
      <c r="C20" s="55">
        <f>C21+C28</f>
        <v>408530</v>
      </c>
      <c r="D20" s="18"/>
      <c r="E20" s="18"/>
      <c r="F20" s="18"/>
      <c r="G20" s="18"/>
      <c r="H20" s="18"/>
      <c r="I20" s="19"/>
      <c r="J20" s="19"/>
    </row>
    <row r="21" spans="1:10" ht="19.5" customHeight="1">
      <c r="A21" s="13" t="s">
        <v>76</v>
      </c>
      <c r="B21" s="59" t="s">
        <v>81</v>
      </c>
      <c r="C21" s="51">
        <f>C22+C23+C25+C27+C24+C26</f>
        <v>191691</v>
      </c>
      <c r="D21" s="18"/>
      <c r="E21" s="18"/>
      <c r="F21" s="18"/>
      <c r="G21" s="18"/>
      <c r="H21" s="18"/>
      <c r="I21" s="19"/>
      <c r="J21" s="19"/>
    </row>
    <row r="22" spans="1:10" ht="17.25" customHeight="1">
      <c r="A22" s="28">
        <v>1</v>
      </c>
      <c r="B22" s="58" t="s">
        <v>185</v>
      </c>
      <c r="C22" s="53">
        <v>10000</v>
      </c>
      <c r="D22" s="18"/>
      <c r="E22" s="18"/>
      <c r="F22" s="18"/>
      <c r="G22" s="18"/>
      <c r="H22" s="18"/>
      <c r="I22" s="19"/>
      <c r="J22" s="19"/>
    </row>
    <row r="23" spans="1:10" ht="15" customHeight="1">
      <c r="A23" s="28">
        <v>2</v>
      </c>
      <c r="B23" s="58" t="s">
        <v>175</v>
      </c>
      <c r="C23" s="53">
        <f>42600-6000-909-797-553</f>
        <v>34341</v>
      </c>
      <c r="D23" s="18"/>
      <c r="E23" s="18"/>
      <c r="F23" s="18"/>
      <c r="G23" s="18"/>
      <c r="H23" s="18"/>
      <c r="I23" s="19"/>
      <c r="J23" s="19"/>
    </row>
    <row r="24" spans="1:10" ht="15" customHeight="1">
      <c r="A24" s="28">
        <v>3</v>
      </c>
      <c r="B24" s="58" t="s">
        <v>221</v>
      </c>
      <c r="C24" s="53">
        <v>2000</v>
      </c>
      <c r="D24" s="18"/>
      <c r="E24" s="18"/>
      <c r="F24" s="18"/>
      <c r="G24" s="18"/>
      <c r="H24" s="18"/>
      <c r="I24" s="19"/>
      <c r="J24" s="19"/>
    </row>
    <row r="25" spans="1:10" ht="15" customHeight="1">
      <c r="A25" s="28">
        <v>4</v>
      </c>
      <c r="B25" s="58" t="s">
        <v>176</v>
      </c>
      <c r="C25" s="53">
        <f>76000+553</f>
        <v>76553</v>
      </c>
      <c r="D25" s="18"/>
      <c r="E25" s="18"/>
      <c r="F25" s="18"/>
      <c r="G25" s="18"/>
      <c r="H25" s="18"/>
      <c r="I25" s="19"/>
      <c r="J25" s="19"/>
    </row>
    <row r="26" spans="1:10" ht="15" customHeight="1">
      <c r="A26" s="28">
        <v>5</v>
      </c>
      <c r="B26" s="58" t="s">
        <v>48</v>
      </c>
      <c r="C26" s="53">
        <f>66000+797</f>
        <v>66797</v>
      </c>
      <c r="D26" s="18"/>
      <c r="E26" s="18"/>
      <c r="F26" s="18"/>
      <c r="G26" s="18"/>
      <c r="H26" s="18"/>
      <c r="I26" s="19"/>
      <c r="J26" s="19"/>
    </row>
    <row r="27" spans="1:10" ht="30" customHeight="1">
      <c r="A27" s="28">
        <v>6</v>
      </c>
      <c r="B27" s="54" t="s">
        <v>0</v>
      </c>
      <c r="C27" s="53">
        <v>2000</v>
      </c>
      <c r="D27" s="18"/>
      <c r="E27" s="18"/>
      <c r="F27" s="18"/>
      <c r="G27" s="18"/>
      <c r="H27" s="18"/>
      <c r="I27" s="19"/>
      <c r="J27" s="19"/>
    </row>
    <row r="28" spans="1:10" ht="19.5" customHeight="1">
      <c r="A28" s="13" t="s">
        <v>77</v>
      </c>
      <c r="B28" s="59" t="s">
        <v>82</v>
      </c>
      <c r="C28" s="51">
        <f>C29+C30</f>
        <v>216839</v>
      </c>
      <c r="D28" s="18"/>
      <c r="E28" s="18"/>
      <c r="F28" s="18"/>
      <c r="G28" s="18"/>
      <c r="H28" s="18"/>
      <c r="I28" s="19"/>
      <c r="J28" s="19"/>
    </row>
    <row r="29" spans="1:10" ht="15">
      <c r="A29" s="28">
        <v>1</v>
      </c>
      <c r="B29" s="54" t="s">
        <v>177</v>
      </c>
      <c r="C29" s="53">
        <f>255930+20000-66000</f>
        <v>209930</v>
      </c>
      <c r="D29" s="18"/>
      <c r="E29" s="18"/>
      <c r="F29" s="18"/>
      <c r="G29" s="18"/>
      <c r="H29" s="18"/>
      <c r="I29" s="19"/>
      <c r="J29" s="19"/>
    </row>
    <row r="30" spans="1:10" ht="38.25">
      <c r="A30" s="28">
        <v>2</v>
      </c>
      <c r="B30" s="54" t="s">
        <v>41</v>
      </c>
      <c r="C30" s="53">
        <f>6000+909</f>
        <v>6909</v>
      </c>
      <c r="D30" s="18"/>
      <c r="E30" s="18"/>
      <c r="F30" s="18"/>
      <c r="G30" s="18"/>
      <c r="H30" s="18"/>
      <c r="I30" s="19"/>
      <c r="J30" s="19"/>
    </row>
    <row r="31" spans="1:10" ht="15" customHeight="1">
      <c r="A31" s="20" t="s">
        <v>116</v>
      </c>
      <c r="B31" s="15" t="s">
        <v>117</v>
      </c>
      <c r="C31" s="55">
        <f>C13+C14-C20</f>
        <v>16000</v>
      </c>
      <c r="D31" s="18"/>
      <c r="E31" s="18"/>
      <c r="F31" s="18"/>
      <c r="G31" s="18"/>
      <c r="H31" s="18"/>
      <c r="I31" s="19"/>
      <c r="J31" s="19"/>
    </row>
    <row r="32" spans="1:10" ht="15">
      <c r="A32" s="18"/>
      <c r="B32" s="18"/>
      <c r="C32" s="18"/>
      <c r="D32" s="18"/>
      <c r="E32" s="18"/>
      <c r="F32" s="18"/>
      <c r="G32" s="18"/>
      <c r="H32" s="18"/>
      <c r="I32" s="19"/>
      <c r="J32" s="19"/>
    </row>
    <row r="33" spans="1:10" ht="15">
      <c r="A33" s="18"/>
      <c r="B33" s="18"/>
      <c r="C33" s="18"/>
      <c r="D33" s="18"/>
      <c r="E33" s="18"/>
      <c r="F33" s="18"/>
      <c r="G33" s="18"/>
      <c r="H33" s="18"/>
      <c r="I33" s="19"/>
      <c r="J33" s="19"/>
    </row>
    <row r="34" spans="1:10" ht="15">
      <c r="A34" s="18"/>
      <c r="B34" s="18"/>
      <c r="C34" s="18"/>
      <c r="D34" s="18"/>
      <c r="E34" s="18"/>
      <c r="F34" s="18"/>
      <c r="G34" s="18"/>
      <c r="H34" s="18"/>
      <c r="I34" s="19"/>
      <c r="J34" s="19"/>
    </row>
    <row r="35" spans="1:10" ht="15">
      <c r="A35" s="18"/>
      <c r="B35" s="18"/>
      <c r="C35" s="18"/>
      <c r="D35" s="18"/>
      <c r="E35" s="18"/>
      <c r="F35" s="18"/>
      <c r="G35" s="18"/>
      <c r="H35" s="18"/>
      <c r="I35" s="19"/>
      <c r="J35" s="19"/>
    </row>
    <row r="36" spans="1:10" ht="15">
      <c r="A36" s="18"/>
      <c r="B36" s="18"/>
      <c r="C36" s="18"/>
      <c r="D36" s="18"/>
      <c r="E36" s="18"/>
      <c r="F36" s="18"/>
      <c r="G36" s="18"/>
      <c r="H36" s="18"/>
      <c r="I36" s="19"/>
      <c r="J36" s="19"/>
    </row>
    <row r="37" spans="1:10" ht="15">
      <c r="A37" s="18"/>
      <c r="B37" s="18"/>
      <c r="C37" s="18"/>
      <c r="D37" s="18"/>
      <c r="E37" s="18"/>
      <c r="F37" s="18"/>
      <c r="G37" s="18"/>
      <c r="H37" s="18"/>
      <c r="I37" s="19"/>
      <c r="J37" s="19"/>
    </row>
    <row r="38" spans="1:10" ht="15">
      <c r="A38" s="19"/>
      <c r="B38" s="19"/>
      <c r="C38" s="19"/>
      <c r="D38" s="19"/>
      <c r="E38" s="19"/>
      <c r="F38" s="19"/>
      <c r="G38" s="19"/>
      <c r="H38" s="19"/>
      <c r="I38" s="19"/>
      <c r="J38" s="19"/>
    </row>
    <row r="39" spans="1:10" ht="15">
      <c r="A39" s="19"/>
      <c r="B39" s="19"/>
      <c r="C39" s="19"/>
      <c r="D39" s="19"/>
      <c r="E39" s="19"/>
      <c r="F39" s="19"/>
      <c r="G39" s="19"/>
      <c r="H39" s="19"/>
      <c r="I39" s="19"/>
      <c r="J39" s="19"/>
    </row>
    <row r="40" spans="1:10" ht="15">
      <c r="A40" s="19"/>
      <c r="B40" s="19"/>
      <c r="C40" s="19"/>
      <c r="D40" s="19"/>
      <c r="E40" s="19"/>
      <c r="F40" s="19"/>
      <c r="G40" s="19"/>
      <c r="H40" s="19"/>
      <c r="I40" s="19"/>
      <c r="J40" s="19"/>
    </row>
    <row r="41" spans="1:10" ht="15">
      <c r="A41" s="19"/>
      <c r="B41" s="19"/>
      <c r="C41" s="19"/>
      <c r="D41" s="19"/>
      <c r="E41" s="19"/>
      <c r="F41" s="19"/>
      <c r="G41" s="19"/>
      <c r="H41" s="19"/>
      <c r="I41" s="19"/>
      <c r="J41" s="19"/>
    </row>
  </sheetData>
  <mergeCells count="3">
    <mergeCell ref="C1:D6"/>
    <mergeCell ref="A8:D8"/>
    <mergeCell ref="A9:D9"/>
  </mergeCells>
  <printOptions horizontalCentered="1"/>
  <pageMargins left="0.33" right="0.41" top="0.74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ooimicie</cp:lastModifiedBy>
  <cp:lastPrinted>2009-10-15T12:20:21Z</cp:lastPrinted>
  <dcterms:created xsi:type="dcterms:W3CDTF">1998-12-09T13:02:10Z</dcterms:created>
  <dcterms:modified xsi:type="dcterms:W3CDTF">2009-10-21T08:01:45Z</dcterms:modified>
  <cp:category/>
  <cp:version/>
  <cp:contentType/>
  <cp:contentStatus/>
</cp:coreProperties>
</file>