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prognoza długu" sheetId="13" r:id="rId13"/>
  </sheets>
  <definedNames>
    <definedName name="_xlnm.Print_Titles" localSheetId="0">'1'!$8:$8</definedName>
    <definedName name="_xlnm.Print_Titles" localSheetId="1">'2'!$10:$10</definedName>
    <definedName name="_xlnm.Print_Titles" localSheetId="2">'3'!$11:$11</definedName>
    <definedName name="_xlnm.Print_Titles" localSheetId="3">'3a'!$10:$10</definedName>
    <definedName name="_xlnm.Print_Titles" localSheetId="5">'5'!$10:$10</definedName>
  </definedNames>
  <calcPr fullCalcOnLoad="1"/>
</workbook>
</file>

<file path=xl/sharedStrings.xml><?xml version="1.0" encoding="utf-8"?>
<sst xmlns="http://schemas.openxmlformats.org/spreadsheetml/2006/main" count="863" uniqueCount="502">
  <si>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</si>
  <si>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</si>
  <si>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</si>
  <si>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</si>
  <si>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</si>
  <si>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</si>
  <si>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</si>
  <si>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</si>
  <si>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</si>
  <si>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</si>
  <si>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</si>
  <si>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</si>
  <si>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</si>
  <si>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</si>
  <si>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</si>
  <si>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</si>
  <si>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</si>
  <si>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</si>
  <si>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</si>
  <si>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</si>
  <si>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</si>
  <si>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</si>
  <si>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</si>
  <si>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</si>
  <si>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</si>
  <si>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</si>
  <si>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</si>
  <si>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</si>
  <si>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</si>
  <si>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</si>
  <si>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</si>
  <si>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</si>
  <si>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</si>
  <si>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</si>
  <si>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</si>
  <si>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</si>
  <si>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</si>
  <si>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</si>
  <si>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</si>
  <si>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</si>
  <si>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</si>
  <si>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</si>
  <si>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</si>
  <si>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</si>
  <si>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</si>
  <si>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</si>
  <si>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</si>
  <si>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</si>
  <si>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</si>
  <si>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</si>
  <si>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</si>
  <si>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</si>
  <si>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</si>
  <si>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</si>
  <si>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</si>
  <si>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</si>
  <si>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</si>
  <si>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</si>
  <si>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</si>
  <si>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</si>
  <si>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</si>
  <si>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</si>
  <si>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</si>
  <si>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</si>
  <si>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</si>
  <si>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</si>
  <si>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</si>
  <si>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</si>
  <si>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</si>
  <si>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</si>
  <si>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</si>
  <si>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</si>
  <si>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</si>
  <si>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</si>
  <si>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</si>
  <si>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</si>
  <si>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</si>
  <si>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</si>
  <si>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</si>
  <si>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</si>
  <si>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</si>
  <si>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</si>
  <si>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Dochody i wydatki związane z realizacją zadań z zakresu administracji rządowej realizowanych na podstawie porozumień z organami administracji rządowej w 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</si>
  <si>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</si>
  <si>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</si>
  <si>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</si>
  <si>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</si>
  <si>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</si>
  <si>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</si>
  <si>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</si>
  <si>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</si>
  <si>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</si>
  <si>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z tego:</t>
  </si>
  <si>
    <t>obligacje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</si>
  <si>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</si>
  <si>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</si>
  <si>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</si>
  <si>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</si>
  <si>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</si>
  <si>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</si>
  <si>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</si>
  <si>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</si>
  <si>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</si>
  <si>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</si>
  <si>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</si>
  <si>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</si>
  <si>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</si>
  <si>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</si>
  <si>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</si>
  <si>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</si>
  <si>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</si>
  <si>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</si>
  <si>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</si>
  <si>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</si>
  <si>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</si>
  <si>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</si>
  <si>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</si>
  <si>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</si>
  <si>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</si>
  <si>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</si>
  <si>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</si>
  <si>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</si>
  <si>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</si>
  <si>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</si>
  <si>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</si>
  <si>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</si>
  <si>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</si>
  <si>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</si>
  <si>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</si>
  <si>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</si>
  <si>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</si>
  <si>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</si>
  <si>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</si>
  <si>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</si>
  <si>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</si>
  <si>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</si>
  <si>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</si>
  <si>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</si>
  <si>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</si>
  <si>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</si>
  <si>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</si>
  <si>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</si>
  <si>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</si>
  <si>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</si>
  <si>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</si>
  <si>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</si>
  <si>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</si>
  <si>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</si>
  <si>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</si>
  <si>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</si>
  <si>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</si>
  <si>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</si>
  <si>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</si>
  <si>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</si>
  <si>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</si>
  <si>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</si>
  <si>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</si>
  <si>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</si>
  <si>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</si>
  <si>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</si>
  <si>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</si>
  <si>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</si>
  <si>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</si>
  <si>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</si>
  <si>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</si>
  <si>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</si>
  <si>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</si>
  <si>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</si>
  <si>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</si>
  <si>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</si>
  <si>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</si>
  <si>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</si>
  <si>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</si>
  <si>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</si>
  <si>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</si>
  <si>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</si>
  <si>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</si>
  <si>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</si>
  <si>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</si>
  <si>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</si>
  <si>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</si>
  <si>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</si>
  <si>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Budowa ulicy Grodziskowej wraz z łącznikami do ul. Grunwaldzkiej w Pińczowie - projekt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</si>
  <si>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</si>
  <si>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</si>
  <si>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</si>
  <si>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</si>
  <si>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</si>
  <si>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</si>
  <si>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</si>
  <si>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</si>
  <si>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</si>
  <si>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</si>
  <si>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</si>
  <si>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</si>
  <si>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</si>
  <si>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</si>
  <si>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</si>
  <si>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</si>
  <si>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</si>
  <si>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</si>
  <si>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01008</t>
  </si>
  <si>
    <t>Melioracje wodne</t>
  </si>
  <si>
    <t>Infrastruktura wodociągowa i sanitacyjna wsi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</si>
  <si>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</si>
  <si>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</si>
  <si>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</si>
  <si>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</si>
  <si>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</si>
  <si>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Pozostała działalność</t>
  </si>
  <si>
    <t>Transport i łączność</t>
  </si>
  <si>
    <t>60013</t>
  </si>
  <si>
    <t>Drogi publiczne wojewódzkie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</si>
  <si>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</si>
  <si>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</si>
  <si>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</si>
  <si>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</si>
  <si>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</si>
  <si>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</si>
  <si>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</si>
  <si>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</si>
  <si>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</si>
  <si>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</si>
  <si>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</si>
  <si>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</si>
  <si>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</si>
  <si>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</si>
  <si>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</si>
  <si>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</si>
  <si>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</si>
  <si>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</si>
  <si>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</si>
  <si>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</si>
  <si>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</si>
  <si>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</si>
  <si>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</si>
  <si>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</si>
  <si>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75023</t>
  </si>
  <si>
    <t>Urzędy gmin (miast i miast na prawach powiatu)</t>
  </si>
  <si>
    <t>75095</t>
  </si>
  <si>
    <t>Urzędy naczelnych organów władzy państwowej, kontroli i ochrony prawa oraz sądownictwa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</si>
  <si>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</si>
  <si>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</si>
  <si>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</si>
  <si>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</si>
  <si>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</si>
  <si>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</si>
  <si>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</si>
  <si>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</si>
  <si>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</si>
  <si>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</si>
  <si>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</si>
  <si>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</si>
  <si>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</si>
  <si>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</si>
  <si>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</si>
  <si>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</si>
  <si>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</si>
  <si>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</si>
  <si>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</si>
  <si>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</si>
  <si>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</si>
  <si>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</si>
  <si>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</si>
  <si>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</si>
  <si>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</si>
  <si>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</si>
  <si>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</si>
  <si>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</si>
  <si>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</si>
  <si>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</si>
  <si>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</si>
  <si>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</si>
  <si>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</si>
  <si>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</si>
  <si>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</si>
  <si>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</si>
  <si>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</si>
  <si>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</si>
  <si>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</si>
  <si>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</si>
  <si>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</si>
  <si>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</t>
  </si>
  <si>
    <t>Pomoc społeczna</t>
  </si>
  <si>
    <t>85202</t>
  </si>
  <si>
    <t>Domy pomocy społecznej</t>
  </si>
  <si>
    <t>Świadczenia rodzinne, zaliczka alimentacyjna oraz składki na ubezpieczenia emerytalne i rentowe z ubezpieczenia społecznego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</si>
  <si>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</si>
  <si>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</si>
  <si>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</si>
  <si>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</si>
  <si>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</si>
  <si>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</si>
  <si>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</si>
  <si>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</si>
  <si>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</si>
  <si>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</si>
  <si>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</si>
  <si>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</si>
  <si>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</si>
  <si>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</si>
  <si>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</si>
  <si>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</si>
  <si>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</si>
  <si>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</si>
  <si>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</si>
  <si>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</si>
  <si>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</si>
  <si>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</si>
  <si>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</si>
  <si>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</si>
  <si>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</si>
  <si>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</si>
  <si>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</si>
  <si>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</si>
  <si>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</si>
  <si>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</si>
  <si>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</si>
  <si>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</si>
  <si>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</si>
  <si>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</si>
  <si>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</si>
  <si>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Kultura fizyczna i sport</t>
  </si>
  <si>
    <t>92601</t>
  </si>
  <si>
    <t>Obiekty sportowe</t>
  </si>
  <si>
    <t>92604</t>
  </si>
  <si>
    <t>Instytucje kultury fizycznej</t>
  </si>
  <si>
    <t>92695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</si>
  <si>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</si>
  <si>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</si>
  <si>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</si>
  <si>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</si>
  <si>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</si>
  <si>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</si>
  <si>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</si>
  <si>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Promocja jednostek samorządu terytorialnego</t>
  </si>
  <si>
    <t>6290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</si>
  <si>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</si>
  <si>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</si>
  <si>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</si>
  <si>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0970</t>
  </si>
  <si>
    <t>Wpływy z różnych dochodów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</si>
  <si>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</si>
  <si>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</si>
  <si>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</si>
  <si>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</si>
  <si>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</si>
  <si>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</si>
  <si>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0920</t>
  </si>
  <si>
    <t>Pozostałe odsetki</t>
  </si>
  <si>
    <t>2020</t>
  </si>
  <si>
    <t>Dotacje celowe otrzymane z budżetu państwa na zadania bieżące realizowane przez gminę na podstawie porozumień z organami administracji rządowej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</si>
  <si>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</si>
  <si>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</si>
  <si>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</si>
  <si>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75101</t>
  </si>
  <si>
    <t>0570</t>
  </si>
  <si>
    <t>Grzywny, mandaty i inne kary pieniężne od osób fizycznych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</si>
  <si>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</si>
  <si>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</si>
  <si>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</si>
  <si>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</si>
  <si>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</si>
  <si>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</si>
  <si>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</si>
  <si>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</si>
  <si>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</si>
  <si>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</si>
  <si>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</si>
  <si>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</si>
  <si>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</si>
  <si>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</si>
  <si>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</si>
  <si>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</si>
  <si>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</si>
  <si>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</si>
  <si>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</si>
  <si>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</si>
  <si>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</si>
  <si>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</si>
  <si>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</si>
  <si>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</si>
  <si>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</si>
  <si>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</si>
  <si>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</si>
  <si>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</si>
  <si>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</si>
  <si>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</si>
  <si>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</si>
  <si>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</si>
  <si>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</si>
  <si>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</si>
  <si>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</si>
  <si>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</si>
  <si>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</si>
  <si>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</si>
  <si>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</si>
  <si>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</si>
  <si>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</si>
  <si>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</si>
  <si>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</si>
  <si>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</si>
  <si>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</si>
  <si>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</si>
  <si>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</si>
  <si>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</si>
  <si>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</si>
  <si>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</si>
  <si>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</si>
  <si>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</si>
  <si>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</si>
  <si>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</si>
  <si>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</si>
  <si>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85212</t>
  </si>
  <si>
    <t>85213</t>
  </si>
  <si>
    <t>2030</t>
  </si>
  <si>
    <t>Dotacje celowe otrzymane z budżetu państwa na realizację własnych zadań bieżących gmin (związków gmin)</t>
  </si>
  <si>
    <t>0830</t>
  </si>
  <si>
    <t>Wpływy z usług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</si>
  <si>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</si>
  <si>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</si>
  <si>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</si>
  <si>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</si>
  <si>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</si>
  <si>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>Wydatki osobowe nie zaliczane do wynagrodzeń § 3020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</si>
  <si>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</si>
  <si>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</si>
  <si>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</si>
  <si>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</si>
  <si>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</si>
  <si>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</si>
  <si>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</si>
  <si>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</si>
  <si>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</si>
  <si>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</si>
  <si>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</si>
  <si>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</si>
  <si>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Zwalczanie narkomani</t>
  </si>
  <si>
    <t>Zagospodarowanie  czasu  wolnego dzieci i młodzieży  z gminy  Pińczów poprzez  zajęcia sportowe / propagujące zdrowy styl  życia bez  alkoholu, narkotyków i innych używek/</t>
  </si>
  <si>
    <t>Razem dział 710</t>
  </si>
  <si>
    <t>Pływalnia Miejska w Pińczowie</t>
  </si>
  <si>
    <t>Stowarzyszenia</t>
  </si>
  <si>
    <t>Dochody jednostek samorządu terytorialnego związane z realizacją zadań z zakresu administracji rządowej oraz innych zadań zleconych ustawami</t>
  </si>
  <si>
    <t>MOSiR</t>
  </si>
  <si>
    <t>Utrzymanie pływalni</t>
  </si>
  <si>
    <t>Pińczowskie Samorządowe Centrum Kultury               w Pińczowie</t>
  </si>
  <si>
    <t>Dowożenie uczniów do szkół</t>
  </si>
  <si>
    <t>Kanalizacja ulicy Kluka w Pińczowie</t>
  </si>
  <si>
    <t>Wodociąg Borków</t>
  </si>
  <si>
    <t>Budowa wodociągu Mysiak</t>
  </si>
  <si>
    <t>Budowa wodociągu w miejscowości Mozgawa</t>
  </si>
  <si>
    <t>Pozostałe odsetki (od środków znajdujących się na rachunkach bankowych)</t>
  </si>
  <si>
    <t>Załacznik nr 11                                                                                                                                     do uchwały Rady Miejskiej w Pińczowie nr ……..……. z dnia ……………...</t>
  </si>
  <si>
    <t>Plan dochodów budżetu gminy na 2007 r.</t>
  </si>
  <si>
    <t>Załącznik nr 10                                                                                                                    do uchwały Rady Miejskiej w Pińczowie nr …………..z dnia…………………….</t>
  </si>
  <si>
    <t>Załącznik nr 9                                                                                                                                do uchwały Rady Miejskiej w Pińczowie nr ………….. z dnia…………………….</t>
  </si>
  <si>
    <t>Załącznik nr 8                                                                                                                                             do uchwały Rady Miejskiej w Pińczowie                                        nr ………….. z dnia ……………….</t>
  </si>
  <si>
    <t>Załącznik nr 7                                                                                                                 do uchwały Rady Miejskiej w Pińczowie nr ………...…. z dnia ………………</t>
  </si>
  <si>
    <t>Załącznik nr 6                                                                                     do uchwały Rady Miejskiej w Pińczowie nr ………...….                                                                                                                                       z dnia ………………</t>
  </si>
  <si>
    <t>Załącznik nr 5                                                                                            do  uchwały Rady Miejskiej nr ………….…… z dnia…………...…</t>
  </si>
  <si>
    <t>Gospodarka odpadami</t>
  </si>
  <si>
    <t>Rezerwy ogólne i celowe</t>
  </si>
  <si>
    <t>Razem dział 801</t>
  </si>
  <si>
    <t>Budowa wodociągu Gacki wieś</t>
  </si>
  <si>
    <t>Budowa wodociągu w miejscowości Bugaj</t>
  </si>
  <si>
    <t>Ekorozwój Ponidzia etap II (wodociągi)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</si>
  <si>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</si>
  <si>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</si>
  <si>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</si>
  <si>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</si>
  <si>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</si>
  <si>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</si>
  <si>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</si>
  <si>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</si>
  <si>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</si>
  <si>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</si>
  <si>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</si>
  <si>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</si>
  <si>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Załącznik nr 2                                                                                                                                    do uchwały Rady Miejskiej w Pińczowie nr …………..…. z dnia ………………...</t>
  </si>
  <si>
    <t>Budowa chodnika w Bogucicach - projekt</t>
  </si>
  <si>
    <t>Ochrona zabytków i opieka nad zabytkami</t>
  </si>
  <si>
    <t>Oczyszczalnie przydowowe</t>
  </si>
  <si>
    <t>Plan wydatków budżetu gminy na 2007 r.</t>
  </si>
  <si>
    <t>Zadania inwestycyjne roczne w 2007 r.</t>
  </si>
  <si>
    <t>Razem dzial 921</t>
  </si>
  <si>
    <t>Plan wydatków na wieloletnie programy inwestycyjne w latach 2007 - 2009</t>
  </si>
  <si>
    <t>Załącznik nr 3                                                                                                              do uchwały Rady Miejskiej nr …………... z dnia ……………….</t>
  </si>
  <si>
    <t>Partycypacja w kosztach budowy Hali Widowiskowo-Sportowej w Pińczowie</t>
  </si>
  <si>
    <t>Rezem dział 926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</si>
  <si>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</si>
  <si>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</si>
  <si>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</si>
  <si>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</si>
  <si>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</si>
  <si>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</si>
  <si>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</si>
  <si>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</si>
  <si>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</si>
  <si>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</si>
  <si>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Załacznik nr 3a                                                                                                           do uchwały Rady Miejskiej w Pińczowie …………z dnia……………..........</t>
  </si>
  <si>
    <t>Załącznik nr 1                                                                                                                                             do uchwały Rady Miejskiej w Pińczowie nr VII/36/2007 z dnia 28 lutego 2007 r.</t>
  </si>
  <si>
    <t xml:space="preserve">Załącznik nr 4 do uchwały Rady Miejskiej nr VII/36/2007 z dnia 28 lutego 2007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</si>
</sst>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3" fontId="29" fillId="0" borderId="0" xfId="0" applyNumberFormat="1" applyFont="1" applyAlignment="1">
      <alignment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14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/>
    </xf>
    <xf numFmtId="49" fontId="2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3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29" fillId="0" borderId="5" xfId="0" applyFont="1" applyBorder="1" applyAlignment="1">
      <alignment horizontal="center" vertical="top"/>
    </xf>
    <xf numFmtId="0" fontId="29" fillId="0" borderId="6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83">
      <selection activeCell="D1" sqref="D1: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4:5" ht="12.75">
      <c r="D1" s="176" t="s">
        <v>500</v>
      </c>
      <c r="E1" s="176"/>
    </row>
    <row r="2" spans="4:5" ht="15" customHeight="1">
      <c r="D2" s="176"/>
      <c r="E2" s="176"/>
    </row>
    <row r="3" ht="5.25" customHeight="1"/>
    <row r="4" spans="2:5" ht="18">
      <c r="B4" s="186" t="s">
        <v>453</v>
      </c>
      <c r="C4" s="186"/>
      <c r="D4" s="186"/>
      <c r="E4" s="186"/>
    </row>
    <row r="5" spans="2:4" ht="2.25" customHeight="1">
      <c r="B5" s="2"/>
      <c r="C5" s="2"/>
      <c r="D5" s="2"/>
    </row>
    <row r="6" spans="1:5" s="41" customFormat="1" ht="15" customHeight="1">
      <c r="A6" s="187" t="s">
        <v>2</v>
      </c>
      <c r="B6" s="187" t="s">
        <v>3</v>
      </c>
      <c r="C6" s="187" t="s">
        <v>4</v>
      </c>
      <c r="D6" s="187" t="s">
        <v>5</v>
      </c>
      <c r="E6" s="188" t="s">
        <v>72</v>
      </c>
    </row>
    <row r="7" spans="1:5" s="41" customFormat="1" ht="14.25" customHeight="1">
      <c r="A7" s="187"/>
      <c r="B7" s="187"/>
      <c r="C7" s="187"/>
      <c r="D7" s="187"/>
      <c r="E7" s="187"/>
    </row>
    <row r="8" spans="1:5" s="46" customFormat="1" ht="13.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</row>
    <row r="9" spans="1:5" s="58" customFormat="1" ht="19.5" customHeight="1">
      <c r="A9" s="177" t="s">
        <v>184</v>
      </c>
      <c r="B9" s="87"/>
      <c r="C9" s="94"/>
      <c r="D9" s="88" t="s">
        <v>200</v>
      </c>
      <c r="E9" s="96">
        <f>E10</f>
        <v>1655810.52</v>
      </c>
    </row>
    <row r="10" spans="1:5" ht="19.5" customHeight="1">
      <c r="A10" s="178"/>
      <c r="B10" s="183" t="s">
        <v>185</v>
      </c>
      <c r="C10" s="95"/>
      <c r="D10" s="85" t="s">
        <v>203</v>
      </c>
      <c r="E10" s="97">
        <f>E11+E12</f>
        <v>1655810.52</v>
      </c>
    </row>
    <row r="11" spans="1:5" ht="47.25" customHeight="1">
      <c r="A11" s="178"/>
      <c r="B11" s="183"/>
      <c r="C11" s="95" t="s">
        <v>336</v>
      </c>
      <c r="D11" s="85" t="s">
        <v>337</v>
      </c>
      <c r="E11" s="97">
        <v>300000</v>
      </c>
    </row>
    <row r="12" spans="1:5" ht="47.25" customHeight="1">
      <c r="A12" s="184"/>
      <c r="B12" s="154"/>
      <c r="C12" s="95">
        <v>6298</v>
      </c>
      <c r="D12" s="85" t="s">
        <v>337</v>
      </c>
      <c r="E12" s="97">
        <f>1284264.52+71546</f>
        <v>1355810.52</v>
      </c>
    </row>
    <row r="13" spans="1:5" s="58" customFormat="1" ht="15.75" customHeight="1">
      <c r="A13" s="182" t="s">
        <v>186</v>
      </c>
      <c r="B13" s="87"/>
      <c r="C13" s="94"/>
      <c r="D13" s="88" t="s">
        <v>210</v>
      </c>
      <c r="E13" s="96">
        <f>E14</f>
        <v>57000</v>
      </c>
    </row>
    <row r="14" spans="1:5" ht="14.25" customHeight="1">
      <c r="A14" s="182"/>
      <c r="B14" s="183" t="s">
        <v>213</v>
      </c>
      <c r="C14" s="95"/>
      <c r="D14" s="85" t="s">
        <v>214</v>
      </c>
      <c r="E14" s="97">
        <f>E15+E16</f>
        <v>57000</v>
      </c>
    </row>
    <row r="15" spans="1:5" ht="19.5" customHeight="1">
      <c r="A15" s="182"/>
      <c r="B15" s="183"/>
      <c r="C15" s="95" t="s">
        <v>338</v>
      </c>
      <c r="D15" s="85" t="s">
        <v>339</v>
      </c>
      <c r="E15" s="97">
        <v>52000</v>
      </c>
    </row>
    <row r="16" spans="1:5" ht="19.5" customHeight="1">
      <c r="A16" s="182"/>
      <c r="B16" s="183"/>
      <c r="C16" s="95" t="s">
        <v>340</v>
      </c>
      <c r="D16" s="85" t="s">
        <v>341</v>
      </c>
      <c r="E16" s="97">
        <v>5000</v>
      </c>
    </row>
    <row r="17" spans="1:5" s="58" customFormat="1" ht="19.5" customHeight="1">
      <c r="A17" s="182" t="s">
        <v>218</v>
      </c>
      <c r="B17" s="87"/>
      <c r="C17" s="94"/>
      <c r="D17" s="88" t="s">
        <v>219</v>
      </c>
      <c r="E17" s="96">
        <f>E18</f>
        <v>365200</v>
      </c>
    </row>
    <row r="18" spans="1:5" ht="15.75">
      <c r="A18" s="182"/>
      <c r="B18" s="183" t="s">
        <v>222</v>
      </c>
      <c r="C18" s="95"/>
      <c r="D18" s="85" t="s">
        <v>223</v>
      </c>
      <c r="E18" s="97">
        <f>E19+E20+E21+E22</f>
        <v>365200</v>
      </c>
    </row>
    <row r="19" spans="1:5" ht="31.5">
      <c r="A19" s="182"/>
      <c r="B19" s="183"/>
      <c r="C19" s="95" t="s">
        <v>342</v>
      </c>
      <c r="D19" s="85" t="s">
        <v>343</v>
      </c>
      <c r="E19" s="97">
        <v>110000</v>
      </c>
    </row>
    <row r="20" spans="1:5" ht="63">
      <c r="A20" s="182"/>
      <c r="B20" s="183"/>
      <c r="C20" s="95" t="s">
        <v>344</v>
      </c>
      <c r="D20" s="85" t="s">
        <v>345</v>
      </c>
      <c r="E20" s="97">
        <v>52200</v>
      </c>
    </row>
    <row r="21" spans="1:5" ht="31.5">
      <c r="A21" s="182"/>
      <c r="B21" s="183"/>
      <c r="C21" s="95" t="s">
        <v>346</v>
      </c>
      <c r="D21" s="85" t="s">
        <v>347</v>
      </c>
      <c r="E21" s="97">
        <v>200000</v>
      </c>
    </row>
    <row r="22" spans="1:5" ht="15.75">
      <c r="A22" s="182"/>
      <c r="B22" s="183"/>
      <c r="C22" s="95" t="s">
        <v>348</v>
      </c>
      <c r="D22" s="85" t="s">
        <v>349</v>
      </c>
      <c r="E22" s="97">
        <v>3000</v>
      </c>
    </row>
    <row r="23" spans="1:5" s="58" customFormat="1" ht="15.75">
      <c r="A23" s="177" t="s">
        <v>225</v>
      </c>
      <c r="B23" s="87"/>
      <c r="C23" s="94"/>
      <c r="D23" s="88" t="s">
        <v>226</v>
      </c>
      <c r="E23" s="96">
        <f>E24</f>
        <v>2000</v>
      </c>
    </row>
    <row r="24" spans="1:5" ht="15.75">
      <c r="A24" s="178"/>
      <c r="B24" s="179" t="s">
        <v>229</v>
      </c>
      <c r="C24" s="95"/>
      <c r="D24" s="85" t="s">
        <v>230</v>
      </c>
      <c r="E24" s="97">
        <f>E25</f>
        <v>2000</v>
      </c>
    </row>
    <row r="25" spans="1:5" ht="47.25">
      <c r="A25" s="178"/>
      <c r="B25" s="180"/>
      <c r="C25" s="95" t="s">
        <v>350</v>
      </c>
      <c r="D25" s="85" t="s">
        <v>351</v>
      </c>
      <c r="E25" s="97">
        <v>2000</v>
      </c>
    </row>
    <row r="26" spans="1:5" s="58" customFormat="1" ht="15.75">
      <c r="A26" s="182" t="s">
        <v>231</v>
      </c>
      <c r="B26" s="87"/>
      <c r="C26" s="94"/>
      <c r="D26" s="88" t="s">
        <v>232</v>
      </c>
      <c r="E26" s="96">
        <f>E27+E30</f>
        <v>186079</v>
      </c>
    </row>
    <row r="27" spans="1:5" ht="15.75">
      <c r="A27" s="182"/>
      <c r="B27" s="179" t="s">
        <v>233</v>
      </c>
      <c r="C27" s="95"/>
      <c r="D27" s="85" t="s">
        <v>234</v>
      </c>
      <c r="E27" s="97">
        <f>E28+E29</f>
        <v>121079</v>
      </c>
    </row>
    <row r="28" spans="1:5" ht="47.25">
      <c r="A28" s="182"/>
      <c r="B28" s="180"/>
      <c r="C28" s="95" t="s">
        <v>352</v>
      </c>
      <c r="D28" s="85" t="s">
        <v>353</v>
      </c>
      <c r="E28" s="97">
        <v>116740</v>
      </c>
    </row>
    <row r="29" spans="1:5" ht="47.25">
      <c r="A29" s="182"/>
      <c r="B29" s="181"/>
      <c r="C29" s="95">
        <v>2360</v>
      </c>
      <c r="D29" s="85" t="s">
        <v>442</v>
      </c>
      <c r="E29" s="97">
        <v>4339</v>
      </c>
    </row>
    <row r="30" spans="1:5" ht="19.5" customHeight="1">
      <c r="A30" s="182"/>
      <c r="B30" s="183" t="s">
        <v>239</v>
      </c>
      <c r="C30" s="95"/>
      <c r="D30" s="85" t="s">
        <v>209</v>
      </c>
      <c r="E30" s="97">
        <f>E31+E32</f>
        <v>65000</v>
      </c>
    </row>
    <row r="31" spans="1:5" ht="19.5" customHeight="1">
      <c r="A31" s="182"/>
      <c r="B31" s="183"/>
      <c r="C31" s="95" t="s">
        <v>338</v>
      </c>
      <c r="D31" s="85" t="s">
        <v>339</v>
      </c>
      <c r="E31" s="97">
        <v>25000</v>
      </c>
    </row>
    <row r="32" spans="1:5" ht="14.25" customHeight="1">
      <c r="A32" s="182"/>
      <c r="B32" s="183"/>
      <c r="C32" s="95" t="s">
        <v>340</v>
      </c>
      <c r="D32" s="85" t="s">
        <v>341</v>
      </c>
      <c r="E32" s="97">
        <v>40000</v>
      </c>
    </row>
    <row r="33" spans="1:5" s="58" customFormat="1" ht="33" customHeight="1">
      <c r="A33" s="182" t="s">
        <v>354</v>
      </c>
      <c r="B33" s="87"/>
      <c r="C33" s="94"/>
      <c r="D33" s="88" t="s">
        <v>240</v>
      </c>
      <c r="E33" s="96">
        <f>E34</f>
        <v>3677</v>
      </c>
    </row>
    <row r="34" spans="1:5" ht="35.25" customHeight="1">
      <c r="A34" s="182"/>
      <c r="B34" s="154" t="s">
        <v>355</v>
      </c>
      <c r="C34" s="95"/>
      <c r="D34" s="85" t="s">
        <v>241</v>
      </c>
      <c r="E34" s="97">
        <f>E35</f>
        <v>3677</v>
      </c>
    </row>
    <row r="35" spans="1:5" ht="56.25" customHeight="1">
      <c r="A35" s="159"/>
      <c r="B35" s="160"/>
      <c r="C35" s="95" t="s">
        <v>352</v>
      </c>
      <c r="D35" s="85" t="s">
        <v>353</v>
      </c>
      <c r="E35" s="97">
        <v>3677</v>
      </c>
    </row>
    <row r="36" spans="1:5" s="58" customFormat="1" ht="35.25" customHeight="1">
      <c r="A36" s="182" t="s">
        <v>242</v>
      </c>
      <c r="B36" s="87"/>
      <c r="C36" s="94"/>
      <c r="D36" s="88" t="s">
        <v>243</v>
      </c>
      <c r="E36" s="96">
        <f>E37</f>
        <v>30000</v>
      </c>
    </row>
    <row r="37" spans="1:5" ht="15.75">
      <c r="A37" s="182"/>
      <c r="B37" s="183" t="s">
        <v>248</v>
      </c>
      <c r="C37" s="95"/>
      <c r="D37" s="85" t="s">
        <v>249</v>
      </c>
      <c r="E37" s="97">
        <f>E38</f>
        <v>30000</v>
      </c>
    </row>
    <row r="38" spans="1:5" ht="31.5">
      <c r="A38" s="182"/>
      <c r="B38" s="183"/>
      <c r="C38" s="95" t="s">
        <v>356</v>
      </c>
      <c r="D38" s="85" t="s">
        <v>357</v>
      </c>
      <c r="E38" s="97">
        <v>30000</v>
      </c>
    </row>
    <row r="39" spans="1:5" s="58" customFormat="1" ht="47.25">
      <c r="A39" s="182" t="s">
        <v>251</v>
      </c>
      <c r="B39" s="87"/>
      <c r="C39" s="94"/>
      <c r="D39" s="88" t="s">
        <v>252</v>
      </c>
      <c r="E39" s="96">
        <f>E40+E42+E51+E61+E65</f>
        <v>20112851</v>
      </c>
    </row>
    <row r="40" spans="1:5" ht="15.75">
      <c r="A40" s="182"/>
      <c r="B40" s="183" t="s">
        <v>358</v>
      </c>
      <c r="C40" s="95"/>
      <c r="D40" s="85" t="s">
        <v>359</v>
      </c>
      <c r="E40" s="97">
        <f>E41</f>
        <v>30000</v>
      </c>
    </row>
    <row r="41" spans="1:5" ht="31.5">
      <c r="A41" s="182"/>
      <c r="B41" s="183"/>
      <c r="C41" s="95" t="s">
        <v>360</v>
      </c>
      <c r="D41" s="85" t="s">
        <v>361</v>
      </c>
      <c r="E41" s="97">
        <v>30000</v>
      </c>
    </row>
    <row r="42" spans="1:5" ht="47.25">
      <c r="A42" s="182"/>
      <c r="B42" s="183" t="s">
        <v>362</v>
      </c>
      <c r="C42" s="95"/>
      <c r="D42" s="85" t="s">
        <v>363</v>
      </c>
      <c r="E42" s="97">
        <f>E43+E44+E45+E46+E47+E48+E49+E50</f>
        <v>7596500</v>
      </c>
    </row>
    <row r="43" spans="1:5" ht="15.75">
      <c r="A43" s="182"/>
      <c r="B43" s="183"/>
      <c r="C43" s="95" t="s">
        <v>364</v>
      </c>
      <c r="D43" s="85" t="s">
        <v>365</v>
      </c>
      <c r="E43" s="97">
        <v>7000000</v>
      </c>
    </row>
    <row r="44" spans="1:5" ht="15.75">
      <c r="A44" s="182"/>
      <c r="B44" s="183"/>
      <c r="C44" s="95" t="s">
        <v>366</v>
      </c>
      <c r="D44" s="85" t="s">
        <v>367</v>
      </c>
      <c r="E44" s="97">
        <v>40000</v>
      </c>
    </row>
    <row r="45" spans="1:5" ht="15.75">
      <c r="A45" s="182"/>
      <c r="B45" s="183"/>
      <c r="C45" s="95" t="s">
        <v>368</v>
      </c>
      <c r="D45" s="85" t="s">
        <v>369</v>
      </c>
      <c r="E45" s="97">
        <v>55000</v>
      </c>
    </row>
    <row r="46" spans="1:5" ht="15.75">
      <c r="A46" s="182"/>
      <c r="B46" s="183"/>
      <c r="C46" s="95" t="s">
        <v>370</v>
      </c>
      <c r="D46" s="85" t="s">
        <v>371</v>
      </c>
      <c r="E46" s="97">
        <v>150000</v>
      </c>
    </row>
    <row r="47" spans="1:5" ht="15.75">
      <c r="A47" s="182"/>
      <c r="B47" s="183"/>
      <c r="C47" s="95" t="s">
        <v>372</v>
      </c>
      <c r="D47" s="85" t="s">
        <v>373</v>
      </c>
      <c r="E47" s="97">
        <v>190000</v>
      </c>
    </row>
    <row r="48" spans="1:5" ht="15.75">
      <c r="A48" s="182"/>
      <c r="B48" s="183"/>
      <c r="C48" s="95" t="s">
        <v>374</v>
      </c>
      <c r="D48" s="85" t="s">
        <v>375</v>
      </c>
      <c r="E48" s="97">
        <v>1500</v>
      </c>
    </row>
    <row r="49" spans="1:5" ht="15.75">
      <c r="A49" s="182"/>
      <c r="B49" s="183"/>
      <c r="C49" s="95" t="s">
        <v>376</v>
      </c>
      <c r="D49" s="85" t="s">
        <v>377</v>
      </c>
      <c r="E49" s="97">
        <v>150000</v>
      </c>
    </row>
    <row r="50" spans="1:5" ht="33.75" customHeight="1">
      <c r="A50" s="182"/>
      <c r="B50" s="183"/>
      <c r="C50" s="95" t="s">
        <v>378</v>
      </c>
      <c r="D50" s="85" t="s">
        <v>379</v>
      </c>
      <c r="E50" s="97">
        <v>10000</v>
      </c>
    </row>
    <row r="51" spans="1:5" ht="63">
      <c r="A51" s="182"/>
      <c r="B51" s="183" t="s">
        <v>380</v>
      </c>
      <c r="C51" s="95"/>
      <c r="D51" s="85" t="s">
        <v>381</v>
      </c>
      <c r="E51" s="97">
        <f>E52+E53+E54+E55+E56+E57+E58+E59+E60</f>
        <v>3572000</v>
      </c>
    </row>
    <row r="52" spans="1:5" ht="15.75">
      <c r="A52" s="182"/>
      <c r="B52" s="183"/>
      <c r="C52" s="95" t="s">
        <v>364</v>
      </c>
      <c r="D52" s="85" t="s">
        <v>365</v>
      </c>
      <c r="E52" s="97">
        <v>1500000</v>
      </c>
    </row>
    <row r="53" spans="1:5" ht="15.75">
      <c r="A53" s="182"/>
      <c r="B53" s="183"/>
      <c r="C53" s="95" t="s">
        <v>366</v>
      </c>
      <c r="D53" s="85" t="s">
        <v>367</v>
      </c>
      <c r="E53" s="97">
        <v>730000</v>
      </c>
    </row>
    <row r="54" spans="1:5" ht="15.75">
      <c r="A54" s="182"/>
      <c r="B54" s="183"/>
      <c r="C54" s="95" t="s">
        <v>368</v>
      </c>
      <c r="D54" s="85" t="s">
        <v>369</v>
      </c>
      <c r="E54" s="97">
        <v>6000</v>
      </c>
    </row>
    <row r="55" spans="1:5" ht="15.75">
      <c r="A55" s="182"/>
      <c r="B55" s="183"/>
      <c r="C55" s="95" t="s">
        <v>370</v>
      </c>
      <c r="D55" s="85" t="s">
        <v>371</v>
      </c>
      <c r="E55" s="97">
        <v>450000</v>
      </c>
    </row>
    <row r="56" spans="1:5" ht="15.75">
      <c r="A56" s="182"/>
      <c r="B56" s="183"/>
      <c r="C56" s="95" t="s">
        <v>382</v>
      </c>
      <c r="D56" s="85" t="s">
        <v>383</v>
      </c>
      <c r="E56" s="97">
        <v>75000</v>
      </c>
    </row>
    <row r="57" spans="1:5" ht="15.75">
      <c r="A57" s="182"/>
      <c r="B57" s="183"/>
      <c r="C57" s="95" t="s">
        <v>384</v>
      </c>
      <c r="D57" s="85" t="s">
        <v>385</v>
      </c>
      <c r="E57" s="97">
        <v>6000</v>
      </c>
    </row>
    <row r="58" spans="1:5" ht="15.75">
      <c r="A58" s="182"/>
      <c r="B58" s="183"/>
      <c r="C58" s="95" t="s">
        <v>386</v>
      </c>
      <c r="D58" s="85" t="s">
        <v>387</v>
      </c>
      <c r="E58" s="97">
        <v>25000</v>
      </c>
    </row>
    <row r="59" spans="1:5" ht="15.75">
      <c r="A59" s="182"/>
      <c r="B59" s="183"/>
      <c r="C59" s="95" t="s">
        <v>376</v>
      </c>
      <c r="D59" s="85" t="s">
        <v>377</v>
      </c>
      <c r="E59" s="97">
        <v>700000</v>
      </c>
    </row>
    <row r="60" spans="1:5" ht="20.25" customHeight="1">
      <c r="A60" s="182"/>
      <c r="B60" s="183"/>
      <c r="C60" s="95" t="s">
        <v>378</v>
      </c>
      <c r="D60" s="85" t="s">
        <v>379</v>
      </c>
      <c r="E60" s="97">
        <v>80000</v>
      </c>
    </row>
    <row r="61" spans="1:5" ht="31.5">
      <c r="A61" s="182"/>
      <c r="B61" s="183" t="s">
        <v>388</v>
      </c>
      <c r="C61" s="95"/>
      <c r="D61" s="85" t="s">
        <v>389</v>
      </c>
      <c r="E61" s="97">
        <f>E62+E63+E64</f>
        <v>1397000</v>
      </c>
    </row>
    <row r="62" spans="1:5" ht="15.75">
      <c r="A62" s="182"/>
      <c r="B62" s="183"/>
      <c r="C62" s="95" t="s">
        <v>390</v>
      </c>
      <c r="D62" s="85" t="s">
        <v>391</v>
      </c>
      <c r="E62" s="97">
        <v>400000</v>
      </c>
    </row>
    <row r="63" spans="1:5" ht="15.75">
      <c r="A63" s="182"/>
      <c r="B63" s="183"/>
      <c r="C63" s="95" t="s">
        <v>392</v>
      </c>
      <c r="D63" s="85" t="s">
        <v>393</v>
      </c>
      <c r="E63" s="97">
        <v>770000</v>
      </c>
    </row>
    <row r="64" spans="1:5" ht="24.75" customHeight="1">
      <c r="A64" s="182"/>
      <c r="B64" s="183"/>
      <c r="C64" s="95" t="s">
        <v>394</v>
      </c>
      <c r="D64" s="85" t="s">
        <v>395</v>
      </c>
      <c r="E64" s="97">
        <v>227000</v>
      </c>
    </row>
    <row r="65" spans="1:5" ht="38.25" customHeight="1">
      <c r="A65" s="182"/>
      <c r="B65" s="183" t="s">
        <v>396</v>
      </c>
      <c r="C65" s="95"/>
      <c r="D65" s="85" t="s">
        <v>397</v>
      </c>
      <c r="E65" s="97">
        <f>E66+E67</f>
        <v>7517351</v>
      </c>
    </row>
    <row r="66" spans="1:5" ht="21.75" customHeight="1">
      <c r="A66" s="182"/>
      <c r="B66" s="183"/>
      <c r="C66" s="95" t="s">
        <v>398</v>
      </c>
      <c r="D66" s="85" t="s">
        <v>399</v>
      </c>
      <c r="E66" s="97">
        <f>7108344-90993</f>
        <v>7017351</v>
      </c>
    </row>
    <row r="67" spans="1:5" ht="28.5" customHeight="1">
      <c r="A67" s="182"/>
      <c r="B67" s="183"/>
      <c r="C67" s="95" t="s">
        <v>400</v>
      </c>
      <c r="D67" s="85" t="s">
        <v>401</v>
      </c>
      <c r="E67" s="97">
        <v>500000</v>
      </c>
    </row>
    <row r="68" spans="1:5" s="58" customFormat="1" ht="15.75">
      <c r="A68" s="182" t="s">
        <v>402</v>
      </c>
      <c r="B68" s="87"/>
      <c r="C68" s="94"/>
      <c r="D68" s="88" t="s">
        <v>403</v>
      </c>
      <c r="E68" s="96">
        <f>E69+E71+E73+E75</f>
        <v>11161145</v>
      </c>
    </row>
    <row r="69" spans="1:5" ht="31.5">
      <c r="A69" s="182"/>
      <c r="B69" s="183" t="s">
        <v>404</v>
      </c>
      <c r="C69" s="95"/>
      <c r="D69" s="85" t="s">
        <v>405</v>
      </c>
      <c r="E69" s="97">
        <f>E70</f>
        <v>10015779</v>
      </c>
    </row>
    <row r="70" spans="1:5" ht="15.75">
      <c r="A70" s="182"/>
      <c r="B70" s="183"/>
      <c r="C70" s="95" t="s">
        <v>406</v>
      </c>
      <c r="D70" s="85" t="s">
        <v>407</v>
      </c>
      <c r="E70" s="97">
        <f>9556502+459277</f>
        <v>10015779</v>
      </c>
    </row>
    <row r="71" spans="1:5" ht="15.75">
      <c r="A71" s="182"/>
      <c r="B71" s="183" t="s">
        <v>408</v>
      </c>
      <c r="C71" s="95"/>
      <c r="D71" s="85" t="s">
        <v>409</v>
      </c>
      <c r="E71" s="97">
        <f>E72</f>
        <v>482577</v>
      </c>
    </row>
    <row r="72" spans="1:5" ht="15.75">
      <c r="A72" s="182"/>
      <c r="B72" s="183"/>
      <c r="C72" s="95" t="s">
        <v>406</v>
      </c>
      <c r="D72" s="85" t="s">
        <v>407</v>
      </c>
      <c r="E72" s="97">
        <v>482577</v>
      </c>
    </row>
    <row r="73" spans="1:5" ht="15.75">
      <c r="A73" s="177"/>
      <c r="B73" s="183">
        <v>75814</v>
      </c>
      <c r="C73" s="95"/>
      <c r="D73" s="85" t="s">
        <v>410</v>
      </c>
      <c r="E73" s="97">
        <f>E74</f>
        <v>40000</v>
      </c>
    </row>
    <row r="74" spans="1:5" ht="31.5">
      <c r="A74" s="178"/>
      <c r="B74" s="183"/>
      <c r="C74" s="145" t="s">
        <v>348</v>
      </c>
      <c r="D74" s="85" t="s">
        <v>451</v>
      </c>
      <c r="E74" s="97">
        <v>40000</v>
      </c>
    </row>
    <row r="75" spans="1:5" ht="15.75">
      <c r="A75" s="178"/>
      <c r="B75" s="183" t="s">
        <v>411</v>
      </c>
      <c r="C75" s="95"/>
      <c r="D75" s="85" t="s">
        <v>412</v>
      </c>
      <c r="E75" s="97">
        <f>E76</f>
        <v>622789</v>
      </c>
    </row>
    <row r="76" spans="1:5" ht="15.75">
      <c r="A76" s="184"/>
      <c r="B76" s="183"/>
      <c r="C76" s="95" t="s">
        <v>406</v>
      </c>
      <c r="D76" s="85" t="s">
        <v>407</v>
      </c>
      <c r="E76" s="97">
        <f>603342+19447</f>
        <v>622789</v>
      </c>
    </row>
    <row r="77" spans="1:5" s="58" customFormat="1" ht="15.75">
      <c r="A77" s="182" t="s">
        <v>261</v>
      </c>
      <c r="B77" s="87"/>
      <c r="C77" s="94"/>
      <c r="D77" s="88" t="s">
        <v>262</v>
      </c>
      <c r="E77" s="96">
        <f>E78</f>
        <v>28000</v>
      </c>
    </row>
    <row r="78" spans="1:5" ht="15.75">
      <c r="A78" s="182"/>
      <c r="B78" s="183" t="s">
        <v>263</v>
      </c>
      <c r="C78" s="95"/>
      <c r="D78" s="85" t="s">
        <v>264</v>
      </c>
      <c r="E78" s="97">
        <f>E79</f>
        <v>28000</v>
      </c>
    </row>
    <row r="79" spans="1:5" ht="63">
      <c r="A79" s="182"/>
      <c r="B79" s="183"/>
      <c r="C79" s="95" t="s">
        <v>344</v>
      </c>
      <c r="D79" s="85" t="s">
        <v>345</v>
      </c>
      <c r="E79" s="97">
        <v>28000</v>
      </c>
    </row>
    <row r="80" spans="1:5" s="58" customFormat="1" ht="15.75">
      <c r="A80" s="182" t="s">
        <v>282</v>
      </c>
      <c r="B80" s="87"/>
      <c r="C80" s="94"/>
      <c r="D80" s="88" t="s">
        <v>283</v>
      </c>
      <c r="E80" s="96">
        <f>E81+E83+E85+E88+E90+E93</f>
        <v>9467423</v>
      </c>
    </row>
    <row r="81" spans="1:5" ht="47.25">
      <c r="A81" s="182"/>
      <c r="B81" s="183" t="s">
        <v>413</v>
      </c>
      <c r="C81" s="95"/>
      <c r="D81" s="85" t="s">
        <v>286</v>
      </c>
      <c r="E81" s="97">
        <f>E82</f>
        <v>8498529</v>
      </c>
    </row>
    <row r="82" spans="1:5" ht="47.25">
      <c r="A82" s="182"/>
      <c r="B82" s="183"/>
      <c r="C82" s="95" t="s">
        <v>352</v>
      </c>
      <c r="D82" s="85" t="s">
        <v>353</v>
      </c>
      <c r="E82" s="97">
        <v>8498529</v>
      </c>
    </row>
    <row r="83" spans="1:5" ht="47.25">
      <c r="A83" s="182"/>
      <c r="B83" s="183" t="s">
        <v>414</v>
      </c>
      <c r="C83" s="95"/>
      <c r="D83" s="85" t="s">
        <v>287</v>
      </c>
      <c r="E83" s="97">
        <f>E84</f>
        <v>77744</v>
      </c>
    </row>
    <row r="84" spans="1:5" ht="47.25">
      <c r="A84" s="182"/>
      <c r="B84" s="183"/>
      <c r="C84" s="95" t="s">
        <v>352</v>
      </c>
      <c r="D84" s="85" t="s">
        <v>353</v>
      </c>
      <c r="E84" s="97">
        <v>77744</v>
      </c>
    </row>
    <row r="85" spans="1:5" ht="31.5">
      <c r="A85" s="182"/>
      <c r="B85" s="183" t="s">
        <v>288</v>
      </c>
      <c r="C85" s="95"/>
      <c r="D85" s="85" t="s">
        <v>289</v>
      </c>
      <c r="E85" s="97">
        <f>E86+E87</f>
        <v>369907</v>
      </c>
    </row>
    <row r="86" spans="1:5" ht="47.25">
      <c r="A86" s="182"/>
      <c r="B86" s="183"/>
      <c r="C86" s="95" t="s">
        <v>352</v>
      </c>
      <c r="D86" s="85" t="s">
        <v>353</v>
      </c>
      <c r="E86" s="97">
        <v>301932</v>
      </c>
    </row>
    <row r="87" spans="1:5" ht="31.5">
      <c r="A87" s="182"/>
      <c r="B87" s="183"/>
      <c r="C87" s="95" t="s">
        <v>415</v>
      </c>
      <c r="D87" s="85" t="s">
        <v>416</v>
      </c>
      <c r="E87" s="97">
        <v>67975</v>
      </c>
    </row>
    <row r="88" spans="1:5" ht="15.75">
      <c r="A88" s="182"/>
      <c r="B88" s="183" t="s">
        <v>292</v>
      </c>
      <c r="C88" s="95"/>
      <c r="D88" s="85" t="s">
        <v>293</v>
      </c>
      <c r="E88" s="97">
        <f>E89</f>
        <v>300502</v>
      </c>
    </row>
    <row r="89" spans="1:5" ht="31.5">
      <c r="A89" s="182"/>
      <c r="B89" s="183"/>
      <c r="C89" s="95" t="s">
        <v>415</v>
      </c>
      <c r="D89" s="85" t="s">
        <v>416</v>
      </c>
      <c r="E89" s="97">
        <v>300502</v>
      </c>
    </row>
    <row r="90" spans="1:5" ht="15.75">
      <c r="A90" s="182"/>
      <c r="B90" s="183" t="s">
        <v>294</v>
      </c>
      <c r="C90" s="95"/>
      <c r="D90" s="85" t="s">
        <v>295</v>
      </c>
      <c r="E90" s="97">
        <f>E91+E92</f>
        <v>86086</v>
      </c>
    </row>
    <row r="91" spans="1:5" ht="15.75">
      <c r="A91" s="182"/>
      <c r="B91" s="183"/>
      <c r="C91" s="95" t="s">
        <v>417</v>
      </c>
      <c r="D91" s="85" t="s">
        <v>418</v>
      </c>
      <c r="E91" s="97">
        <v>63000</v>
      </c>
    </row>
    <row r="92" spans="1:5" ht="47.25">
      <c r="A92" s="182"/>
      <c r="B92" s="183"/>
      <c r="C92" s="95" t="s">
        <v>352</v>
      </c>
      <c r="D92" s="85" t="s">
        <v>353</v>
      </c>
      <c r="E92" s="97">
        <v>23086</v>
      </c>
    </row>
    <row r="93" spans="1:5" ht="15.75">
      <c r="A93" s="182"/>
      <c r="B93" s="183" t="s">
        <v>296</v>
      </c>
      <c r="C93" s="95"/>
      <c r="D93" s="85" t="s">
        <v>209</v>
      </c>
      <c r="E93" s="97">
        <f>E94</f>
        <v>134655</v>
      </c>
    </row>
    <row r="94" spans="1:5" ht="31.5">
      <c r="A94" s="182"/>
      <c r="B94" s="183"/>
      <c r="C94" s="95" t="s">
        <v>415</v>
      </c>
      <c r="D94" s="85" t="s">
        <v>416</v>
      </c>
      <c r="E94" s="97">
        <v>134655</v>
      </c>
    </row>
    <row r="95" spans="1:6" ht="18.75" customHeight="1">
      <c r="A95" s="185" t="s">
        <v>126</v>
      </c>
      <c r="B95" s="185"/>
      <c r="C95" s="185"/>
      <c r="D95" s="185"/>
      <c r="E95" s="96">
        <f>E9+E13+E17+E23+E26+E33+E36+E39+E68+E77+E80</f>
        <v>43069185.519999996</v>
      </c>
      <c r="F95" s="86"/>
    </row>
  </sheetData>
  <mergeCells count="43">
    <mergeCell ref="A33:A34"/>
    <mergeCell ref="A95:D95"/>
    <mergeCell ref="B4:E4"/>
    <mergeCell ref="A6:A7"/>
    <mergeCell ref="B6:B7"/>
    <mergeCell ref="C6:C7"/>
    <mergeCell ref="D6:D7"/>
    <mergeCell ref="E6:E7"/>
    <mergeCell ref="B10:B11"/>
    <mergeCell ref="A13:A16"/>
    <mergeCell ref="A36:A38"/>
    <mergeCell ref="B37:B38"/>
    <mergeCell ref="A39:A67"/>
    <mergeCell ref="B40:B41"/>
    <mergeCell ref="B42:B50"/>
    <mergeCell ref="B51:B60"/>
    <mergeCell ref="B61:B64"/>
    <mergeCell ref="B65:B67"/>
    <mergeCell ref="A80:A94"/>
    <mergeCell ref="B81:B82"/>
    <mergeCell ref="B83:B84"/>
    <mergeCell ref="B85:B87"/>
    <mergeCell ref="B88:B89"/>
    <mergeCell ref="B90:B92"/>
    <mergeCell ref="B93:B94"/>
    <mergeCell ref="A68:A72"/>
    <mergeCell ref="A73:A76"/>
    <mergeCell ref="A77:A79"/>
    <mergeCell ref="B78:B79"/>
    <mergeCell ref="B69:B70"/>
    <mergeCell ref="B71:B72"/>
    <mergeCell ref="B73:B74"/>
    <mergeCell ref="B75:B76"/>
    <mergeCell ref="D1:E2"/>
    <mergeCell ref="A23:A25"/>
    <mergeCell ref="B24:B25"/>
    <mergeCell ref="B27:B29"/>
    <mergeCell ref="A26:A32"/>
    <mergeCell ref="B30:B32"/>
    <mergeCell ref="A9:A12"/>
    <mergeCell ref="B14:B16"/>
    <mergeCell ref="A17:A22"/>
    <mergeCell ref="B18:B22"/>
  </mergeCells>
  <printOptions horizontalCentered="1"/>
  <pageMargins left="0.41" right="0.54" top="0.41" bottom="0.5905511811023623" header="0.27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70" t="s">
        <v>455</v>
      </c>
      <c r="E1" s="170"/>
      <c r="F1" s="170"/>
    </row>
    <row r="2" spans="4:6" ht="12.75">
      <c r="D2" s="170"/>
      <c r="E2" s="170"/>
      <c r="F2" s="170"/>
    </row>
    <row r="5" spans="1:5" ht="19.5" customHeight="1">
      <c r="A5" s="195" t="s">
        <v>69</v>
      </c>
      <c r="B5" s="195"/>
      <c r="C5" s="195"/>
      <c r="D5" s="195"/>
      <c r="E5" s="195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5" t="s">
        <v>71</v>
      </c>
      <c r="B8" s="15" t="s">
        <v>2</v>
      </c>
      <c r="C8" s="15" t="s">
        <v>3</v>
      </c>
      <c r="D8" s="15" t="s">
        <v>50</v>
      </c>
      <c r="E8" s="15" t="s">
        <v>49</v>
      </c>
    </row>
    <row r="9" spans="1:5" ht="13.5" customHeight="1">
      <c r="A9" s="109">
        <v>1</v>
      </c>
      <c r="B9" s="109">
        <v>2</v>
      </c>
      <c r="C9" s="109">
        <v>3</v>
      </c>
      <c r="D9" s="109">
        <v>4</v>
      </c>
      <c r="E9" s="109">
        <v>5</v>
      </c>
    </row>
    <row r="10" spans="1:5" ht="45.75" customHeight="1">
      <c r="A10" s="23" t="s">
        <v>12</v>
      </c>
      <c r="B10" s="23">
        <v>801</v>
      </c>
      <c r="C10" s="23">
        <v>80110</v>
      </c>
      <c r="D10" s="93" t="s">
        <v>436</v>
      </c>
      <c r="E10" s="100">
        <f>2!H53</f>
        <v>230581</v>
      </c>
    </row>
    <row r="11" spans="1:5" ht="30" customHeight="1">
      <c r="A11" s="23" t="s">
        <v>13</v>
      </c>
      <c r="B11" s="23">
        <v>851</v>
      </c>
      <c r="C11" s="23">
        <v>85121</v>
      </c>
      <c r="D11" s="93" t="s">
        <v>432</v>
      </c>
      <c r="E11" s="100">
        <f>2!H59</f>
        <v>20000</v>
      </c>
    </row>
    <row r="12" spans="1:7" ht="30" customHeight="1">
      <c r="A12" s="23" t="s">
        <v>14</v>
      </c>
      <c r="B12" s="23">
        <v>921</v>
      </c>
      <c r="C12" s="23">
        <v>92109</v>
      </c>
      <c r="D12" s="93" t="s">
        <v>445</v>
      </c>
      <c r="E12" s="100">
        <v>575000</v>
      </c>
      <c r="G12" s="99"/>
    </row>
    <row r="13" spans="1:5" ht="30" customHeight="1">
      <c r="A13" s="23" t="s">
        <v>1</v>
      </c>
      <c r="B13" s="23">
        <v>921</v>
      </c>
      <c r="C13" s="23">
        <v>92116</v>
      </c>
      <c r="D13" s="93" t="s">
        <v>445</v>
      </c>
      <c r="E13" s="100">
        <f>2!H84</f>
        <v>535000</v>
      </c>
    </row>
    <row r="14" spans="1:5" ht="30" customHeight="1">
      <c r="A14" s="23" t="s">
        <v>20</v>
      </c>
      <c r="B14" s="23">
        <v>921</v>
      </c>
      <c r="C14" s="23">
        <v>92118</v>
      </c>
      <c r="D14" s="93" t="s">
        <v>430</v>
      </c>
      <c r="E14" s="100">
        <f>2!H85</f>
        <v>177000</v>
      </c>
    </row>
    <row r="15" spans="1:5" ht="30" customHeight="1">
      <c r="A15" s="23" t="s">
        <v>23</v>
      </c>
      <c r="B15" s="23">
        <v>926</v>
      </c>
      <c r="C15" s="23">
        <v>92604</v>
      </c>
      <c r="D15" s="93" t="s">
        <v>441</v>
      </c>
      <c r="E15" s="100">
        <v>150000</v>
      </c>
    </row>
    <row r="16" spans="1:5" ht="30" customHeight="1">
      <c r="A16" s="225" t="s">
        <v>136</v>
      </c>
      <c r="B16" s="225"/>
      <c r="C16" s="225"/>
      <c r="D16" s="225"/>
      <c r="E16" s="101">
        <f>SUM(E10:E15)</f>
        <v>1687581</v>
      </c>
    </row>
  </sheetData>
  <mergeCells count="3">
    <mergeCell ref="A5:E5"/>
    <mergeCell ref="A16:D16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8" sqref="D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76" t="s">
        <v>454</v>
      </c>
      <c r="E1" s="176"/>
      <c r="F1" s="176"/>
    </row>
    <row r="2" spans="4:6" ht="12.75">
      <c r="D2" s="176"/>
      <c r="E2" s="176"/>
      <c r="F2" s="176"/>
    </row>
    <row r="4" spans="1:5" ht="48.75" customHeight="1">
      <c r="A4" s="216" t="s">
        <v>137</v>
      </c>
      <c r="B4" s="216"/>
      <c r="C4" s="216"/>
      <c r="D4" s="216"/>
      <c r="E4" s="216"/>
    </row>
    <row r="5" spans="4:5" ht="19.5" customHeight="1">
      <c r="D5" s="103"/>
      <c r="E5" s="6"/>
    </row>
    <row r="6" spans="4:5" ht="19.5" customHeight="1">
      <c r="D6" s="1"/>
      <c r="E6" s="9" t="s">
        <v>46</v>
      </c>
    </row>
    <row r="7" spans="1:5" ht="19.5" customHeight="1">
      <c r="A7" s="15" t="s">
        <v>71</v>
      </c>
      <c r="B7" s="15" t="s">
        <v>2</v>
      </c>
      <c r="C7" s="15" t="s">
        <v>3</v>
      </c>
      <c r="D7" s="15" t="s">
        <v>48</v>
      </c>
      <c r="E7" s="15" t="s">
        <v>49</v>
      </c>
    </row>
    <row r="8" spans="1:5" s="61" customFormat="1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</row>
    <row r="9" spans="1:5" ht="57.75" customHeight="1">
      <c r="A9" s="23" t="s">
        <v>12</v>
      </c>
      <c r="B9" s="23">
        <v>851</v>
      </c>
      <c r="C9" s="23">
        <v>85154</v>
      </c>
      <c r="D9" s="105" t="s">
        <v>438</v>
      </c>
      <c r="E9" s="100">
        <f>2!H61</f>
        <v>45000</v>
      </c>
    </row>
    <row r="10" spans="1:5" ht="30" customHeight="1">
      <c r="A10" s="212" t="s">
        <v>136</v>
      </c>
      <c r="B10" s="212"/>
      <c r="C10" s="212"/>
      <c r="D10" s="212"/>
      <c r="E10" s="84">
        <f>E9</f>
        <v>45000</v>
      </c>
    </row>
  </sheetData>
  <mergeCells count="3">
    <mergeCell ref="A4:E4"/>
    <mergeCell ref="A10:D10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11" sqref="E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170" t="s">
        <v>452</v>
      </c>
      <c r="C1" s="170"/>
    </row>
    <row r="2" spans="2:3" ht="12.75">
      <c r="B2" s="170"/>
      <c r="C2" s="170"/>
    </row>
    <row r="4" spans="1:10" ht="19.5" customHeight="1">
      <c r="A4" s="172" t="s">
        <v>43</v>
      </c>
      <c r="B4" s="172"/>
      <c r="C4" s="172"/>
      <c r="D4" s="6"/>
      <c r="E4" s="6"/>
      <c r="F4" s="6"/>
      <c r="G4" s="6"/>
      <c r="H4" s="6"/>
      <c r="I4" s="6"/>
      <c r="J4" s="6"/>
    </row>
    <row r="5" spans="1:7" ht="19.5" customHeight="1">
      <c r="A5" s="172" t="s">
        <v>51</v>
      </c>
      <c r="B5" s="172"/>
      <c r="C5" s="172"/>
      <c r="D5" s="6"/>
      <c r="E5" s="6"/>
      <c r="F5" s="6"/>
      <c r="G5" s="6"/>
    </row>
    <row r="7" ht="12.75">
      <c r="C7" s="9" t="s">
        <v>46</v>
      </c>
    </row>
    <row r="8" spans="1:10" ht="19.5" customHeight="1">
      <c r="A8" s="15" t="s">
        <v>71</v>
      </c>
      <c r="B8" s="15" t="s">
        <v>0</v>
      </c>
      <c r="C8" s="15" t="s">
        <v>66</v>
      </c>
      <c r="D8" s="7"/>
      <c r="E8" s="7"/>
      <c r="F8" s="7"/>
      <c r="G8" s="7"/>
      <c r="H8" s="7"/>
      <c r="I8" s="8"/>
      <c r="J8" s="8"/>
    </row>
    <row r="9" spans="1:10" ht="19.5" customHeight="1">
      <c r="A9" s="22" t="s">
        <v>10</v>
      </c>
      <c r="B9" s="37" t="s">
        <v>76</v>
      </c>
      <c r="C9" s="90">
        <v>140574</v>
      </c>
      <c r="D9" s="7"/>
      <c r="E9" s="7"/>
      <c r="F9" s="7"/>
      <c r="G9" s="7"/>
      <c r="H9" s="7"/>
      <c r="I9" s="8"/>
      <c r="J9" s="8"/>
    </row>
    <row r="10" spans="1:10" ht="19.5" customHeight="1">
      <c r="A10" s="22" t="s">
        <v>16</v>
      </c>
      <c r="B10" s="37" t="s">
        <v>9</v>
      </c>
      <c r="C10" s="90">
        <f>C11+C12+C13+C14+C15</f>
        <v>175000</v>
      </c>
      <c r="D10" s="7"/>
      <c r="E10" s="7"/>
      <c r="F10" s="7"/>
      <c r="G10" s="7"/>
      <c r="H10" s="7"/>
      <c r="I10" s="8"/>
      <c r="J10" s="8"/>
    </row>
    <row r="11" spans="1:10" ht="27.75" customHeight="1">
      <c r="A11" s="104" t="s">
        <v>12</v>
      </c>
      <c r="B11" s="105" t="s">
        <v>422</v>
      </c>
      <c r="C11" s="106">
        <v>10000</v>
      </c>
      <c r="D11" s="7"/>
      <c r="E11" s="7"/>
      <c r="F11" s="7"/>
      <c r="G11" s="7"/>
      <c r="H11" s="7"/>
      <c r="I11" s="8"/>
      <c r="J11" s="8"/>
    </row>
    <row r="12" spans="1:10" ht="27.75" customHeight="1">
      <c r="A12" s="104" t="s">
        <v>13</v>
      </c>
      <c r="B12" s="107" t="s">
        <v>421</v>
      </c>
      <c r="C12" s="106">
        <v>1000</v>
      </c>
      <c r="D12" s="7"/>
      <c r="E12" s="7"/>
      <c r="F12" s="7"/>
      <c r="G12" s="7"/>
      <c r="H12" s="7"/>
      <c r="I12" s="8"/>
      <c r="J12" s="8"/>
    </row>
    <row r="13" spans="1:10" ht="29.25" customHeight="1">
      <c r="A13" s="104" t="s">
        <v>14</v>
      </c>
      <c r="B13" s="105" t="s">
        <v>423</v>
      </c>
      <c r="C13" s="106">
        <v>4000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04" t="s">
        <v>1</v>
      </c>
      <c r="B14" s="107" t="s">
        <v>419</v>
      </c>
      <c r="C14" s="106">
        <v>157000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104" t="s">
        <v>20</v>
      </c>
      <c r="B15" s="107" t="s">
        <v>420</v>
      </c>
      <c r="C15" s="106">
        <v>3000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2" t="s">
        <v>17</v>
      </c>
      <c r="B16" s="37" t="s">
        <v>8</v>
      </c>
      <c r="C16" s="90">
        <f>C17+C21</f>
        <v>299574</v>
      </c>
      <c r="D16" s="7"/>
      <c r="E16" s="7"/>
      <c r="F16" s="7"/>
      <c r="G16" s="7"/>
      <c r="H16" s="7"/>
      <c r="I16" s="8"/>
      <c r="J16" s="8"/>
    </row>
    <row r="17" spans="1:10" ht="19.5" customHeight="1">
      <c r="A17" s="59" t="s">
        <v>12</v>
      </c>
      <c r="B17" s="108" t="s">
        <v>41</v>
      </c>
      <c r="C17" s="84">
        <f>C18+C19+C20</f>
        <v>114000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3"/>
      <c r="B18" s="107" t="s">
        <v>424</v>
      </c>
      <c r="C18" s="100">
        <v>4000</v>
      </c>
      <c r="D18" s="7"/>
      <c r="E18" s="7"/>
      <c r="F18" s="7"/>
      <c r="G18" s="7"/>
      <c r="H18" s="7"/>
      <c r="I18" s="8"/>
      <c r="J18" s="8"/>
    </row>
    <row r="19" spans="1:10" ht="15" customHeight="1">
      <c r="A19" s="23"/>
      <c r="B19" s="107" t="s">
        <v>425</v>
      </c>
      <c r="C19" s="100">
        <v>51000</v>
      </c>
      <c r="D19" s="7"/>
      <c r="E19" s="7"/>
      <c r="F19" s="7"/>
      <c r="G19" s="7"/>
      <c r="H19" s="7"/>
      <c r="I19" s="8"/>
      <c r="J19" s="8"/>
    </row>
    <row r="20" spans="1:10" ht="15" customHeight="1">
      <c r="A20" s="23"/>
      <c r="B20" s="107" t="s">
        <v>426</v>
      </c>
      <c r="C20" s="100">
        <v>59000</v>
      </c>
      <c r="D20" s="7"/>
      <c r="E20" s="7"/>
      <c r="F20" s="7"/>
      <c r="G20" s="7"/>
      <c r="H20" s="7"/>
      <c r="I20" s="8"/>
      <c r="J20" s="8"/>
    </row>
    <row r="21" spans="1:10" ht="19.5" customHeight="1">
      <c r="A21" s="59" t="s">
        <v>13</v>
      </c>
      <c r="B21" s="108" t="s">
        <v>44</v>
      </c>
      <c r="C21" s="84">
        <f>C22</f>
        <v>185574</v>
      </c>
      <c r="D21" s="7"/>
      <c r="E21" s="7"/>
      <c r="F21" s="7"/>
      <c r="G21" s="7"/>
      <c r="H21" s="7"/>
      <c r="I21" s="8"/>
      <c r="J21" s="8"/>
    </row>
    <row r="22" spans="1:10" ht="15">
      <c r="A22" s="23"/>
      <c r="B22" s="105" t="s">
        <v>427</v>
      </c>
      <c r="C22" s="100">
        <v>185574</v>
      </c>
      <c r="D22" s="7"/>
      <c r="E22" s="7"/>
      <c r="F22" s="7"/>
      <c r="G22" s="7"/>
      <c r="H22" s="7"/>
      <c r="I22" s="8"/>
      <c r="J22" s="8"/>
    </row>
    <row r="23" spans="1:10" ht="19.5" customHeight="1">
      <c r="A23" s="22" t="s">
        <v>42</v>
      </c>
      <c r="B23" s="37" t="s">
        <v>78</v>
      </c>
      <c r="C23" s="90">
        <f>C9+C10-C16</f>
        <v>16000</v>
      </c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8"/>
      <c r="J28" s="8"/>
    </row>
    <row r="29" spans="1:10" ht="15">
      <c r="A29" s="7"/>
      <c r="B29" s="7"/>
      <c r="C29" s="7"/>
      <c r="D29" s="7"/>
      <c r="E29" s="7"/>
      <c r="F29" s="7"/>
      <c r="G29" s="7"/>
      <c r="H29" s="7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mergeCells count="3">
    <mergeCell ref="A4:C4"/>
    <mergeCell ref="A5:C5"/>
    <mergeCell ref="B1:C2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B20">
      <selection activeCell="D33" sqref="D33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2.75390625" style="0" customWidth="1"/>
    <col min="4" max="9" width="10.125" style="0" customWidth="1"/>
    <col min="10" max="12" width="10.125" style="0" bestFit="1" customWidth="1"/>
  </cols>
  <sheetData>
    <row r="1" spans="1:12" ht="18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9" customHeight="1">
      <c r="I3" s="57" t="s">
        <v>46</v>
      </c>
    </row>
    <row r="4" spans="1:12" s="45" customFormat="1" ht="35.25" customHeight="1">
      <c r="A4" s="173" t="s">
        <v>71</v>
      </c>
      <c r="B4" s="173" t="s">
        <v>0</v>
      </c>
      <c r="C4" s="173" t="s">
        <v>117</v>
      </c>
      <c r="D4" s="226" t="s">
        <v>101</v>
      </c>
      <c r="E4" s="226"/>
      <c r="F4" s="226"/>
      <c r="G4" s="226"/>
      <c r="H4" s="226"/>
      <c r="I4" s="226"/>
      <c r="J4" s="226"/>
      <c r="K4" s="226"/>
      <c r="L4" s="226"/>
    </row>
    <row r="5" spans="1:12" s="45" customFormat="1" ht="23.25" customHeight="1">
      <c r="A5" s="173"/>
      <c r="B5" s="173"/>
      <c r="C5" s="173"/>
      <c r="D5" s="53">
        <v>2007</v>
      </c>
      <c r="E5" s="53">
        <v>2008</v>
      </c>
      <c r="F5" s="53">
        <v>2009</v>
      </c>
      <c r="G5" s="53">
        <v>2010</v>
      </c>
      <c r="H5" s="53">
        <v>2011</v>
      </c>
      <c r="I5" s="53">
        <v>2012</v>
      </c>
      <c r="J5" s="53">
        <v>2013</v>
      </c>
      <c r="K5" s="53">
        <v>2014</v>
      </c>
      <c r="L5" s="53">
        <v>2015</v>
      </c>
    </row>
    <row r="6" spans="1:12" s="52" customFormat="1" ht="11.2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</row>
    <row r="7" spans="1:12" s="45" customFormat="1" ht="22.5" customHeight="1">
      <c r="A7" s="43" t="s">
        <v>12</v>
      </c>
      <c r="B7" s="56" t="s">
        <v>170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44" customFormat="1" ht="15" customHeight="1">
      <c r="A8" s="47" t="s">
        <v>102</v>
      </c>
      <c r="B8" s="49" t="s">
        <v>103</v>
      </c>
      <c r="C8" s="140">
        <f aca="true" t="shared" si="0" ref="C8:L8">SUM(C9:C11,C13)</f>
        <v>9257416</v>
      </c>
      <c r="D8" s="140">
        <f t="shared" si="0"/>
        <v>8827202</v>
      </c>
      <c r="E8" s="140">
        <f t="shared" si="0"/>
        <v>7021157</v>
      </c>
      <c r="F8" s="140">
        <f t="shared" si="0"/>
        <v>5261157</v>
      </c>
      <c r="G8" s="140">
        <f t="shared" si="0"/>
        <v>3495311</v>
      </c>
      <c r="H8" s="140">
        <f t="shared" si="0"/>
        <v>2095000</v>
      </c>
      <c r="I8" s="140">
        <f t="shared" si="0"/>
        <v>1328000</v>
      </c>
      <c r="J8" s="140">
        <f t="shared" si="0"/>
        <v>716000</v>
      </c>
      <c r="K8" s="140">
        <f t="shared" si="0"/>
        <v>104000</v>
      </c>
      <c r="L8" s="140">
        <f t="shared" si="0"/>
        <v>0</v>
      </c>
    </row>
    <row r="9" spans="1:12" s="44" customFormat="1" ht="15" customHeight="1">
      <c r="A9" s="51"/>
      <c r="B9" s="50" t="s">
        <v>104</v>
      </c>
      <c r="C9" s="141">
        <f>360000+C16+256120-C21</f>
        <v>902416</v>
      </c>
      <c r="D9" s="140">
        <f>C9+D16-D21</f>
        <v>774356</v>
      </c>
      <c r="E9" s="140">
        <f>D9+E16-E21</f>
        <v>528311</v>
      </c>
      <c r="F9" s="140">
        <f>E9+F16-F21</f>
        <v>328311</v>
      </c>
      <c r="G9" s="140">
        <f>F9+G16-G21</f>
        <v>128311</v>
      </c>
      <c r="H9" s="140">
        <f>G9+H16-H21</f>
        <v>0</v>
      </c>
      <c r="I9" s="140">
        <f aca="true" t="shared" si="1" ref="I9:L11">H9+I16-I21</f>
        <v>0</v>
      </c>
      <c r="J9" s="140">
        <f t="shared" si="1"/>
        <v>0</v>
      </c>
      <c r="K9" s="140">
        <f t="shared" si="1"/>
        <v>0</v>
      </c>
      <c r="L9" s="140">
        <f t="shared" si="1"/>
        <v>0</v>
      </c>
    </row>
    <row r="10" spans="1:12" s="44" customFormat="1" ht="15" customHeight="1">
      <c r="A10" s="51"/>
      <c r="B10" s="50" t="s">
        <v>105</v>
      </c>
      <c r="C10" s="141">
        <f>3355000+C17</f>
        <v>8355000</v>
      </c>
      <c r="D10" s="140">
        <f>C10+D17-D22</f>
        <v>8052846</v>
      </c>
      <c r="E10" s="140">
        <f aca="true" t="shared" si="2" ref="D10:H11">D10+E17-E22</f>
        <v>6492846</v>
      </c>
      <c r="F10" s="140">
        <f t="shared" si="2"/>
        <v>4932846</v>
      </c>
      <c r="G10" s="140">
        <f>F10+G17-G22</f>
        <v>3367000</v>
      </c>
      <c r="H10" s="140">
        <f t="shared" si="2"/>
        <v>2095000</v>
      </c>
      <c r="I10" s="140">
        <f t="shared" si="1"/>
        <v>1328000</v>
      </c>
      <c r="J10" s="140">
        <f t="shared" si="1"/>
        <v>716000</v>
      </c>
      <c r="K10" s="140">
        <f t="shared" si="1"/>
        <v>104000</v>
      </c>
      <c r="L10" s="140">
        <f t="shared" si="1"/>
        <v>0</v>
      </c>
    </row>
    <row r="11" spans="1:12" s="44" customFormat="1" ht="15" customHeight="1">
      <c r="A11" s="51"/>
      <c r="B11" s="50" t="s">
        <v>106</v>
      </c>
      <c r="C11" s="140"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>
        <f t="shared" si="1"/>
        <v>0</v>
      </c>
      <c r="J11" s="140">
        <f t="shared" si="1"/>
        <v>0</v>
      </c>
      <c r="K11" s="140">
        <f t="shared" si="1"/>
        <v>0</v>
      </c>
      <c r="L11" s="140">
        <f t="shared" si="1"/>
        <v>0</v>
      </c>
    </row>
    <row r="12" spans="1:12" s="44" customFormat="1" ht="15" customHeight="1">
      <c r="A12" s="51"/>
      <c r="B12" s="63" t="s">
        <v>146</v>
      </c>
      <c r="C12" s="140">
        <v>678311</v>
      </c>
      <c r="D12" s="140">
        <f aca="true" t="shared" si="3" ref="D12:I12">C12+D19-D26</f>
        <v>678311</v>
      </c>
      <c r="E12" s="140">
        <f t="shared" si="3"/>
        <v>528311</v>
      </c>
      <c r="F12" s="140">
        <f t="shared" si="3"/>
        <v>328311</v>
      </c>
      <c r="G12" s="140">
        <f t="shared" si="3"/>
        <v>128311</v>
      </c>
      <c r="H12" s="140">
        <f t="shared" si="3"/>
        <v>0</v>
      </c>
      <c r="I12" s="140">
        <f t="shared" si="3"/>
        <v>0</v>
      </c>
      <c r="J12" s="140">
        <f>I12+J19-J26</f>
        <v>0</v>
      </c>
      <c r="K12" s="140">
        <f>J12+K19-K26</f>
        <v>0</v>
      </c>
      <c r="L12" s="140">
        <f>K12+L19-L26</f>
        <v>0</v>
      </c>
    </row>
    <row r="13" spans="1:12" s="44" customFormat="1" ht="15" customHeight="1">
      <c r="A13" s="51"/>
      <c r="B13" s="65" t="s">
        <v>150</v>
      </c>
      <c r="C13" s="39">
        <v>0</v>
      </c>
      <c r="D13" s="66" t="s">
        <v>152</v>
      </c>
      <c r="E13" s="66" t="s">
        <v>152</v>
      </c>
      <c r="F13" s="66" t="s">
        <v>152</v>
      </c>
      <c r="G13" s="66" t="s">
        <v>152</v>
      </c>
      <c r="H13" s="66" t="s">
        <v>152</v>
      </c>
      <c r="I13" s="66" t="s">
        <v>152</v>
      </c>
      <c r="J13" s="66" t="s">
        <v>152</v>
      </c>
      <c r="K13" s="66" t="s">
        <v>152</v>
      </c>
      <c r="L13" s="66" t="s">
        <v>152</v>
      </c>
    </row>
    <row r="14" spans="1:12" s="44" customFormat="1" ht="15" customHeight="1">
      <c r="A14" s="51"/>
      <c r="B14" s="63" t="s">
        <v>149</v>
      </c>
      <c r="C14" s="39">
        <v>0</v>
      </c>
      <c r="D14" s="66" t="s">
        <v>152</v>
      </c>
      <c r="E14" s="66" t="s">
        <v>152</v>
      </c>
      <c r="F14" s="66" t="s">
        <v>152</v>
      </c>
      <c r="G14" s="66" t="s">
        <v>152</v>
      </c>
      <c r="H14" s="66" t="s">
        <v>152</v>
      </c>
      <c r="I14" s="66" t="s">
        <v>152</v>
      </c>
      <c r="J14" s="66" t="s">
        <v>152</v>
      </c>
      <c r="K14" s="66" t="s">
        <v>152</v>
      </c>
      <c r="L14" s="66" t="s">
        <v>152</v>
      </c>
    </row>
    <row r="15" spans="1:12" s="44" customFormat="1" ht="15" customHeight="1">
      <c r="A15" s="47" t="s">
        <v>107</v>
      </c>
      <c r="B15" s="49" t="s">
        <v>108</v>
      </c>
      <c r="C15" s="140">
        <f aca="true" t="shared" si="4" ref="C15:L15">SUM(C16:C18)</f>
        <v>5318311</v>
      </c>
      <c r="D15" s="140">
        <f t="shared" si="4"/>
        <v>969846</v>
      </c>
      <c r="E15" s="140">
        <f t="shared" si="4"/>
        <v>0</v>
      </c>
      <c r="F15" s="140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</row>
    <row r="16" spans="1:12" s="44" customFormat="1" ht="15" customHeight="1">
      <c r="A16" s="51"/>
      <c r="B16" s="50" t="s">
        <v>109</v>
      </c>
      <c r="C16" s="140">
        <v>318311</v>
      </c>
      <c r="D16" s="140">
        <v>0</v>
      </c>
      <c r="E16" s="140"/>
      <c r="F16" s="140"/>
      <c r="G16" s="140"/>
      <c r="H16" s="140"/>
      <c r="I16" s="140"/>
      <c r="J16" s="140"/>
      <c r="K16" s="140"/>
      <c r="L16" s="140"/>
    </row>
    <row r="17" spans="1:12" s="44" customFormat="1" ht="15" customHeight="1">
      <c r="A17" s="51"/>
      <c r="B17" s="50" t="s">
        <v>151</v>
      </c>
      <c r="C17" s="140">
        <v>5000000</v>
      </c>
      <c r="D17" s="140">
        <f>4!D12</f>
        <v>969846</v>
      </c>
      <c r="E17" s="140"/>
      <c r="F17" s="140"/>
      <c r="G17" s="140"/>
      <c r="H17" s="140"/>
      <c r="I17" s="140"/>
      <c r="J17" s="140"/>
      <c r="K17" s="140"/>
      <c r="L17" s="140"/>
    </row>
    <row r="18" spans="1:12" s="44" customFormat="1" ht="15" customHeight="1">
      <c r="A18" s="51"/>
      <c r="B18" s="50" t="s">
        <v>93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44" customFormat="1" ht="15" customHeight="1">
      <c r="A19" s="47"/>
      <c r="B19" s="63" t="s">
        <v>146</v>
      </c>
      <c r="C19" s="142">
        <f>318311</f>
        <v>318311</v>
      </c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s="45" customFormat="1" ht="22.5" customHeight="1">
      <c r="A20" s="43" t="s">
        <v>13</v>
      </c>
      <c r="B20" s="56" t="s">
        <v>138</v>
      </c>
      <c r="C20" s="89">
        <f aca="true" t="shared" si="5" ref="C20:H20">SUM(C21:C25)</f>
        <v>812015</v>
      </c>
      <c r="D20" s="89">
        <f t="shared" si="5"/>
        <v>2010060</v>
      </c>
      <c r="E20" s="89">
        <f t="shared" si="5"/>
        <v>2233545</v>
      </c>
      <c r="F20" s="89">
        <f t="shared" si="5"/>
        <v>1980000</v>
      </c>
      <c r="G20" s="89">
        <f t="shared" si="5"/>
        <v>1965846</v>
      </c>
      <c r="H20" s="89">
        <f t="shared" si="5"/>
        <v>1585311</v>
      </c>
      <c r="I20" s="89">
        <f>SUM(I21:I25)</f>
        <v>942000</v>
      </c>
      <c r="J20" s="89">
        <f>SUM(J21:J25)</f>
        <v>742000</v>
      </c>
      <c r="K20" s="89">
        <f>SUM(K21:K25)</f>
        <v>692000</v>
      </c>
      <c r="L20" s="89">
        <f>SUM(L21:L25)</f>
        <v>124000</v>
      </c>
    </row>
    <row r="21" spans="1:12" s="44" customFormat="1" ht="15" customHeight="1">
      <c r="A21" s="51"/>
      <c r="B21" s="50" t="s">
        <v>171</v>
      </c>
      <c r="C21" s="140">
        <v>32015</v>
      </c>
      <c r="D21" s="140">
        <v>128060</v>
      </c>
      <c r="E21" s="140">
        <f>150000+96045</f>
        <v>246045</v>
      </c>
      <c r="F21" s="140">
        <v>200000</v>
      </c>
      <c r="G21" s="140">
        <v>200000</v>
      </c>
      <c r="H21" s="140">
        <v>128311</v>
      </c>
      <c r="I21" s="140"/>
      <c r="J21" s="140"/>
      <c r="K21" s="140"/>
      <c r="L21" s="140"/>
    </row>
    <row r="22" spans="1:12" s="44" customFormat="1" ht="15" customHeight="1">
      <c r="A22" s="51"/>
      <c r="B22" s="50" t="s">
        <v>172</v>
      </c>
      <c r="C22" s="140">
        <v>550000</v>
      </c>
      <c r="D22" s="140">
        <v>1272000</v>
      </c>
      <c r="E22" s="140">
        <f>1272000+288000</f>
        <v>1560000</v>
      </c>
      <c r="F22" s="140">
        <f>1272000+288000</f>
        <v>1560000</v>
      </c>
      <c r="G22" s="140">
        <f>1272000+293846</f>
        <v>1565846</v>
      </c>
      <c r="H22" s="140">
        <v>1272000</v>
      </c>
      <c r="I22" s="140">
        <v>767000</v>
      </c>
      <c r="J22" s="140">
        <v>612000</v>
      </c>
      <c r="K22" s="140">
        <v>612000</v>
      </c>
      <c r="L22" s="140">
        <v>104000</v>
      </c>
    </row>
    <row r="23" spans="1:12" s="44" customFormat="1" ht="15" customHeight="1">
      <c r="A23" s="51"/>
      <c r="B23" s="50" t="s">
        <v>110</v>
      </c>
      <c r="C23" s="140"/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</row>
    <row r="24" spans="1:13" s="44" customFormat="1" ht="15" customHeight="1">
      <c r="A24" s="51"/>
      <c r="B24" s="50" t="s">
        <v>111</v>
      </c>
      <c r="C24" s="140">
        <v>230000</v>
      </c>
      <c r="D24" s="140">
        <f>2!I45</f>
        <v>300000</v>
      </c>
      <c r="E24" s="140">
        <f>200000+150000</f>
        <v>350000</v>
      </c>
      <c r="F24" s="140">
        <f>170000+50000</f>
        <v>220000</v>
      </c>
      <c r="G24" s="140">
        <v>200000</v>
      </c>
      <c r="H24" s="140">
        <v>185000</v>
      </c>
      <c r="I24" s="140">
        <v>175000</v>
      </c>
      <c r="J24" s="140">
        <v>130000</v>
      </c>
      <c r="K24" s="140">
        <v>80000</v>
      </c>
      <c r="L24" s="140">
        <v>20000</v>
      </c>
      <c r="M24" s="144"/>
    </row>
    <row r="25" spans="1:12" s="44" customFormat="1" ht="15" customHeight="1">
      <c r="A25" s="51"/>
      <c r="B25" s="50" t="s">
        <v>112</v>
      </c>
      <c r="C25" s="140">
        <v>0</v>
      </c>
      <c r="D25" s="140">
        <v>310000</v>
      </c>
      <c r="E25" s="140">
        <v>77500</v>
      </c>
      <c r="F25" s="140"/>
      <c r="G25" s="140"/>
      <c r="H25" s="140"/>
      <c r="I25" s="140"/>
      <c r="J25" s="140"/>
      <c r="K25" s="140"/>
      <c r="L25" s="140"/>
    </row>
    <row r="26" spans="1:12" s="44" customFormat="1" ht="15" customHeight="1">
      <c r="A26" s="47"/>
      <c r="B26" s="63" t="s">
        <v>147</v>
      </c>
      <c r="C26" s="140">
        <v>0</v>
      </c>
      <c r="D26" s="140">
        <v>0</v>
      </c>
      <c r="E26" s="140">
        <v>150000</v>
      </c>
      <c r="F26" s="140">
        <v>200000</v>
      </c>
      <c r="G26" s="140">
        <v>200000</v>
      </c>
      <c r="H26" s="140">
        <v>128311</v>
      </c>
      <c r="I26" s="140"/>
      <c r="J26" s="140"/>
      <c r="K26" s="140"/>
      <c r="L26" s="140"/>
    </row>
    <row r="27" spans="1:12" s="45" customFormat="1" ht="22.5" customHeight="1">
      <c r="A27" s="43" t="s">
        <v>14</v>
      </c>
      <c r="B27" s="56" t="s">
        <v>113</v>
      </c>
      <c r="C27" s="89">
        <v>44208483.36</v>
      </c>
      <c r="D27" s="89">
        <f>1!E95</f>
        <v>43069185.519999996</v>
      </c>
      <c r="E27" s="89">
        <f>D27*1.02</f>
        <v>43930569.230399996</v>
      </c>
      <c r="F27" s="89">
        <f aca="true" t="shared" si="6" ref="F27:L27">E27*1.02</f>
        <v>44809180.615008</v>
      </c>
      <c r="G27" s="89">
        <f t="shared" si="6"/>
        <v>45705364.227308154</v>
      </c>
      <c r="H27" s="89">
        <f t="shared" si="6"/>
        <v>46619471.51185432</v>
      </c>
      <c r="I27" s="89">
        <f t="shared" si="6"/>
        <v>47551860.942091405</v>
      </c>
      <c r="J27" s="89">
        <f t="shared" si="6"/>
        <v>48502898.160933234</v>
      </c>
      <c r="K27" s="89">
        <f t="shared" si="6"/>
        <v>49472956.1241519</v>
      </c>
      <c r="L27" s="89">
        <f t="shared" si="6"/>
        <v>50462415.24663494</v>
      </c>
    </row>
    <row r="28" spans="1:12" s="45" customFormat="1" ht="22.5" customHeight="1">
      <c r="A28" s="43"/>
      <c r="B28" s="64" t="s">
        <v>148</v>
      </c>
      <c r="C28" s="143">
        <f>C27-9341359.3</f>
        <v>34867124.06</v>
      </c>
      <c r="D28" s="89">
        <f>1!E95-1!E28-1!E35-1!E82-1!E84-1!E86</f>
        <v>34070563.519999996</v>
      </c>
      <c r="E28" s="89">
        <f aca="true" t="shared" si="7" ref="E28:L28">D28*1.02</f>
        <v>34751974.7904</v>
      </c>
      <c r="F28" s="89">
        <f t="shared" si="7"/>
        <v>35447014.286208</v>
      </c>
      <c r="G28" s="89">
        <f t="shared" si="7"/>
        <v>36155954.57193216</v>
      </c>
      <c r="H28" s="89">
        <f t="shared" si="7"/>
        <v>36879073.6633708</v>
      </c>
      <c r="I28" s="89">
        <f t="shared" si="7"/>
        <v>37616655.13663822</v>
      </c>
      <c r="J28" s="89">
        <f t="shared" si="7"/>
        <v>38368988.23937098</v>
      </c>
      <c r="K28" s="89">
        <f t="shared" si="7"/>
        <v>39136368.0041584</v>
      </c>
      <c r="L28" s="89">
        <f t="shared" si="7"/>
        <v>39919095.36424157</v>
      </c>
    </row>
    <row r="29" spans="1:12" s="62" customFormat="1" ht="22.5" customHeight="1">
      <c r="A29" s="43" t="s">
        <v>1</v>
      </c>
      <c r="B29" s="56" t="s">
        <v>139</v>
      </c>
      <c r="C29" s="89">
        <v>47688824.67</v>
      </c>
      <c r="D29" s="89">
        <f>2!D94</f>
        <v>44039032</v>
      </c>
      <c r="E29" s="89">
        <f>E27-E21-E22</f>
        <v>42124524.230399996</v>
      </c>
      <c r="F29" s="89">
        <f aca="true" t="shared" si="8" ref="F29:L29">F27-F21-F22</f>
        <v>43049180.615008</v>
      </c>
      <c r="G29" s="89">
        <f t="shared" si="8"/>
        <v>43939518.227308154</v>
      </c>
      <c r="H29" s="89">
        <f t="shared" si="8"/>
        <v>45219160.51185432</v>
      </c>
      <c r="I29" s="89">
        <f t="shared" si="8"/>
        <v>46784860.942091405</v>
      </c>
      <c r="J29" s="89">
        <f t="shared" si="8"/>
        <v>47890898.160933234</v>
      </c>
      <c r="K29" s="89">
        <f t="shared" si="8"/>
        <v>48860956.1241519</v>
      </c>
      <c r="L29" s="89">
        <f t="shared" si="8"/>
        <v>50358415.24663494</v>
      </c>
    </row>
    <row r="30" spans="1:12" s="62" customFormat="1" ht="22.5" customHeight="1">
      <c r="A30" s="43" t="s">
        <v>20</v>
      </c>
      <c r="B30" s="56" t="s">
        <v>140</v>
      </c>
      <c r="C30" s="89">
        <f>C27-C29</f>
        <v>-3480341.3100000024</v>
      </c>
      <c r="D30" s="89">
        <f aca="true" t="shared" si="9" ref="D30:I30">D27-D29</f>
        <v>-969846.4800000042</v>
      </c>
      <c r="E30" s="89">
        <f t="shared" si="9"/>
        <v>1806045</v>
      </c>
      <c r="F30" s="89">
        <f t="shared" si="9"/>
        <v>1760000</v>
      </c>
      <c r="G30" s="89">
        <f t="shared" si="9"/>
        <v>1765846</v>
      </c>
      <c r="H30" s="89">
        <f t="shared" si="9"/>
        <v>1400311</v>
      </c>
      <c r="I30" s="89">
        <f t="shared" si="9"/>
        <v>767000</v>
      </c>
      <c r="J30" s="89">
        <f>J27-J29</f>
        <v>612000</v>
      </c>
      <c r="K30" s="89">
        <f>K27-K29</f>
        <v>612000</v>
      </c>
      <c r="L30" s="89">
        <f>L27-L29</f>
        <v>104000</v>
      </c>
    </row>
    <row r="31" spans="1:12" s="45" customFormat="1" ht="22.5" customHeight="1">
      <c r="A31" s="43" t="s">
        <v>23</v>
      </c>
      <c r="B31" s="56" t="s">
        <v>114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44" customFormat="1" ht="15" customHeight="1">
      <c r="A32" s="47"/>
      <c r="B32" s="48" t="s">
        <v>115</v>
      </c>
      <c r="C32" s="39">
        <f aca="true" t="shared" si="10" ref="C32:H32">IF(C27&gt;0,C8/C27*100,"")</f>
        <v>20.940360981431326</v>
      </c>
      <c r="D32" s="39">
        <f t="shared" si="10"/>
        <v>20.495400350445266</v>
      </c>
      <c r="E32" s="39">
        <f t="shared" si="10"/>
        <v>15.98239477202438</v>
      </c>
      <c r="F32" s="39">
        <f t="shared" si="10"/>
        <v>11.741247949171099</v>
      </c>
      <c r="G32" s="39">
        <f t="shared" si="10"/>
        <v>7.647485276819242</v>
      </c>
      <c r="H32" s="39">
        <f t="shared" si="10"/>
        <v>4.493830436210086</v>
      </c>
      <c r="I32" s="39">
        <f>IF(I27&gt;0,I8/I27*100,"")</f>
        <v>2.792740333795215</v>
      </c>
      <c r="J32" s="39">
        <f>IF(J27&gt;0,J8/J27*100,"")</f>
        <v>1.4762004481140547</v>
      </c>
      <c r="K32" s="39">
        <f>IF(K27&gt;0,K8/K27*100,"")</f>
        <v>0.21021585962846656</v>
      </c>
      <c r="L32" s="39">
        <f>IF(L27&gt;0,L8/L27*100,"")</f>
        <v>0</v>
      </c>
    </row>
    <row r="33" spans="1:12" s="44" customFormat="1" ht="15" customHeight="1">
      <c r="A33" s="47"/>
      <c r="B33" s="48" t="s">
        <v>168</v>
      </c>
      <c r="C33" s="39">
        <f aca="true" t="shared" si="11" ref="C33:L33">IF(C27&gt;0,IF(C32&gt;60,(C8-C12)/C27*100,""),"")</f>
      </c>
      <c r="D33" s="39">
        <f t="shared" si="11"/>
      </c>
      <c r="E33" s="39">
        <f t="shared" si="11"/>
      </c>
      <c r="F33" s="39">
        <f t="shared" si="11"/>
      </c>
      <c r="G33" s="39">
        <f t="shared" si="11"/>
      </c>
      <c r="H33" s="39">
        <f t="shared" si="11"/>
      </c>
      <c r="I33" s="39">
        <f t="shared" si="11"/>
      </c>
      <c r="J33" s="39">
        <f t="shared" si="11"/>
      </c>
      <c r="K33" s="39">
        <f t="shared" si="11"/>
      </c>
      <c r="L33" s="39">
        <f t="shared" si="11"/>
      </c>
    </row>
    <row r="34" spans="1:12" s="44" customFormat="1" ht="15" customHeight="1">
      <c r="A34" s="47"/>
      <c r="B34" s="48" t="s">
        <v>116</v>
      </c>
      <c r="C34" s="39">
        <f aca="true" t="shared" si="12" ref="C34:H34">IF(C27&gt;0,C20/C27*100,"")</f>
        <v>1.8367854725699868</v>
      </c>
      <c r="D34" s="39">
        <f t="shared" si="12"/>
        <v>4.6670490182977575</v>
      </c>
      <c r="E34" s="39">
        <f t="shared" si="12"/>
        <v>5.084261458771139</v>
      </c>
      <c r="F34" s="39">
        <f t="shared" si="12"/>
        <v>4.418737349856462</v>
      </c>
      <c r="G34" s="39">
        <f t="shared" si="12"/>
        <v>4.301127522413313</v>
      </c>
      <c r="H34" s="39">
        <f t="shared" si="12"/>
        <v>3.400534044228472</v>
      </c>
      <c r="I34" s="39">
        <f>IF(I27&gt;0,I20/I27*100,"")</f>
        <v>1.9809950259300397</v>
      </c>
      <c r="J34" s="39">
        <f>IF(J27&gt;0,J20/J27*100,"")</f>
        <v>1.5298054923193136</v>
      </c>
      <c r="K34" s="39">
        <f>IF(K27&gt;0,K20/K27*100,"")</f>
        <v>1.3987439890663351</v>
      </c>
      <c r="L34" s="39">
        <f>IF(L27&gt;0,L20/L27*100,"")</f>
        <v>0.24572743772558306</v>
      </c>
    </row>
    <row r="35" spans="1:12" s="44" customFormat="1" ht="15" customHeight="1">
      <c r="A35" s="47"/>
      <c r="B35" s="48" t="s">
        <v>169</v>
      </c>
      <c r="C35" s="39">
        <f aca="true" t="shared" si="13" ref="C35:I35">IF(C27&gt;0,IF(C34&gt;15,(C20-C26)/C27*100,""),"")</f>
      </c>
      <c r="D35" s="39">
        <f t="shared" si="13"/>
      </c>
      <c r="E35" s="39">
        <f t="shared" si="13"/>
      </c>
      <c r="F35" s="39">
        <f t="shared" si="13"/>
      </c>
      <c r="G35" s="39">
        <f t="shared" si="13"/>
      </c>
      <c r="H35" s="39">
        <f t="shared" si="13"/>
      </c>
      <c r="I35" s="39">
        <f t="shared" si="13"/>
      </c>
      <c r="J35" s="39">
        <f>IF(J27&gt;0,IF(J34&gt;15,(J20-J26)/J27*100,""),"")</f>
      </c>
      <c r="K35" s="39">
        <f>IF(K27&gt;0,IF(K34&gt;15,(K20-K26)/K27*100,""),"")</f>
      </c>
      <c r="L35" s="39">
        <f>IF(L27&gt;0,IF(L34&gt;15,(L20-L26)/L27*100,""),"")</f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81">
      <selection activeCell="E99" sqref="E9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2.625" style="1" customWidth="1"/>
    <col min="5" max="5" width="12.875" style="1" customWidth="1"/>
    <col min="6" max="6" width="13.375" style="1" customWidth="1"/>
    <col min="7" max="7" width="11.625" style="1" customWidth="1"/>
    <col min="8" max="8" width="11.375" style="1" bestFit="1" customWidth="1"/>
    <col min="9" max="10" width="10.75390625" style="1" customWidth="1"/>
    <col min="11" max="11" width="11.75390625" style="1" customWidth="1"/>
  </cols>
  <sheetData>
    <row r="1" spans="6:11" ht="12.75" customHeight="1">
      <c r="F1" s="170" t="s">
        <v>478</v>
      </c>
      <c r="G1" s="170"/>
      <c r="H1" s="170"/>
      <c r="I1" s="170"/>
      <c r="J1" s="170"/>
      <c r="K1" s="170"/>
    </row>
    <row r="2" spans="6:11" ht="12.75">
      <c r="F2" s="170"/>
      <c r="G2" s="170"/>
      <c r="H2" s="170"/>
      <c r="I2" s="170"/>
      <c r="J2" s="170"/>
      <c r="K2" s="170"/>
    </row>
    <row r="4" spans="1:11" ht="18">
      <c r="A4" s="172" t="s">
        <v>482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6" ht="18">
      <c r="A5" s="3"/>
      <c r="B5" s="3"/>
      <c r="C5" s="3"/>
      <c r="D5" s="3"/>
      <c r="E5" s="3"/>
      <c r="F5" s="3"/>
    </row>
    <row r="6" spans="1:11" ht="12.75">
      <c r="A6" s="40"/>
      <c r="B6" s="40"/>
      <c r="C6" s="40"/>
      <c r="D6" s="40"/>
      <c r="E6" s="40"/>
      <c r="G6" s="14"/>
      <c r="H6" s="14"/>
      <c r="I6" s="14"/>
      <c r="J6" s="14"/>
      <c r="K6" s="42" t="s">
        <v>64</v>
      </c>
    </row>
    <row r="7" spans="1:11" s="44" customFormat="1" ht="18.75" customHeight="1">
      <c r="A7" s="173" t="s">
        <v>2</v>
      </c>
      <c r="B7" s="173" t="s">
        <v>3</v>
      </c>
      <c r="C7" s="173" t="s">
        <v>18</v>
      </c>
      <c r="D7" s="173" t="s">
        <v>100</v>
      </c>
      <c r="E7" s="173" t="s">
        <v>6</v>
      </c>
      <c r="F7" s="173"/>
      <c r="G7" s="173"/>
      <c r="H7" s="173"/>
      <c r="I7" s="173"/>
      <c r="J7" s="173"/>
      <c r="K7" s="173"/>
    </row>
    <row r="8" spans="1:11" s="44" customFormat="1" ht="20.25" customHeight="1">
      <c r="A8" s="173"/>
      <c r="B8" s="173"/>
      <c r="C8" s="173"/>
      <c r="D8" s="173"/>
      <c r="E8" s="173" t="s">
        <v>41</v>
      </c>
      <c r="F8" s="173" t="s">
        <v>92</v>
      </c>
      <c r="G8" s="173"/>
      <c r="H8" s="173"/>
      <c r="I8" s="173"/>
      <c r="J8" s="173"/>
      <c r="K8" s="173" t="s">
        <v>44</v>
      </c>
    </row>
    <row r="9" spans="1:11" s="44" customFormat="1" ht="63.75">
      <c r="A9" s="173"/>
      <c r="B9" s="173"/>
      <c r="C9" s="173"/>
      <c r="D9" s="173"/>
      <c r="E9" s="173"/>
      <c r="F9" s="53" t="s">
        <v>98</v>
      </c>
      <c r="G9" s="53" t="s">
        <v>99</v>
      </c>
      <c r="H9" s="53" t="s">
        <v>94</v>
      </c>
      <c r="I9" s="53" t="s">
        <v>96</v>
      </c>
      <c r="J9" s="53" t="s">
        <v>97</v>
      </c>
      <c r="K9" s="173"/>
    </row>
    <row r="10" spans="1:11" s="44" customFormat="1" ht="13.5" customHeight="1">
      <c r="A10" s="111">
        <v>1</v>
      </c>
      <c r="B10" s="111">
        <v>2</v>
      </c>
      <c r="C10" s="111">
        <v>3</v>
      </c>
      <c r="D10" s="111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</row>
    <row r="11" spans="1:11" s="98" customFormat="1" ht="12.75">
      <c r="A11" s="174" t="s">
        <v>184</v>
      </c>
      <c r="B11" s="117"/>
      <c r="C11" s="118" t="s">
        <v>200</v>
      </c>
      <c r="D11" s="119">
        <f>D12+D13+D14+D15+D16</f>
        <v>1054900</v>
      </c>
      <c r="E11" s="119">
        <f aca="true" t="shared" si="0" ref="E11:K11">E12+E13+E14+E15+E16</f>
        <v>73900</v>
      </c>
      <c r="F11" s="119">
        <f t="shared" si="0"/>
        <v>0</v>
      </c>
      <c r="G11" s="119">
        <f t="shared" si="0"/>
        <v>0</v>
      </c>
      <c r="H11" s="119">
        <f t="shared" si="0"/>
        <v>0</v>
      </c>
      <c r="I11" s="119">
        <f t="shared" si="0"/>
        <v>0</v>
      </c>
      <c r="J11" s="119">
        <f t="shared" si="0"/>
        <v>0</v>
      </c>
      <c r="K11" s="119">
        <f t="shared" si="0"/>
        <v>981000</v>
      </c>
    </row>
    <row r="12" spans="1:11" s="44" customFormat="1" ht="12.75">
      <c r="A12" s="174"/>
      <c r="B12" s="120" t="s">
        <v>201</v>
      </c>
      <c r="C12" s="121" t="s">
        <v>202</v>
      </c>
      <c r="D12" s="122">
        <f>E12+K12</f>
        <v>2000</v>
      </c>
      <c r="E12" s="122">
        <v>2000</v>
      </c>
      <c r="F12" s="122"/>
      <c r="G12" s="122"/>
      <c r="H12" s="122"/>
      <c r="I12" s="122"/>
      <c r="J12" s="122"/>
      <c r="K12" s="122"/>
    </row>
    <row r="13" spans="1:11" s="44" customFormat="1" ht="25.5">
      <c r="A13" s="174"/>
      <c r="B13" s="123" t="s">
        <v>185</v>
      </c>
      <c r="C13" s="121" t="s">
        <v>203</v>
      </c>
      <c r="D13" s="122">
        <f aca="true" t="shared" si="1" ref="D13:D84">E13+K13</f>
        <v>1016000</v>
      </c>
      <c r="E13" s="122">
        <f>10000+10000+15000</f>
        <v>35000</v>
      </c>
      <c r="F13" s="122"/>
      <c r="G13" s="122"/>
      <c r="H13" s="122"/>
      <c r="I13" s="122"/>
      <c r="J13" s="122"/>
      <c r="K13" s="122">
        <f>3!G21+3a!F12</f>
        <v>981000</v>
      </c>
    </row>
    <row r="14" spans="1:11" s="44" customFormat="1" ht="66.75" customHeight="1">
      <c r="A14" s="174"/>
      <c r="B14" s="120" t="s">
        <v>204</v>
      </c>
      <c r="C14" s="121" t="s">
        <v>205</v>
      </c>
      <c r="D14" s="122">
        <f t="shared" si="1"/>
        <v>1500</v>
      </c>
      <c r="E14" s="122">
        <v>1500</v>
      </c>
      <c r="F14" s="122"/>
      <c r="G14" s="122"/>
      <c r="H14" s="122"/>
      <c r="I14" s="122"/>
      <c r="J14" s="122"/>
      <c r="K14" s="122"/>
    </row>
    <row r="15" spans="1:11" s="44" customFormat="1" ht="12.75">
      <c r="A15" s="174"/>
      <c r="B15" s="120" t="s">
        <v>206</v>
      </c>
      <c r="C15" s="121" t="s">
        <v>207</v>
      </c>
      <c r="D15" s="122">
        <f t="shared" si="1"/>
        <v>15400</v>
      </c>
      <c r="E15" s="122">
        <v>15400</v>
      </c>
      <c r="F15" s="122"/>
      <c r="G15" s="122"/>
      <c r="H15" s="122"/>
      <c r="I15" s="122"/>
      <c r="J15" s="122"/>
      <c r="K15" s="122"/>
    </row>
    <row r="16" spans="1:11" s="44" customFormat="1" ht="12.75">
      <c r="A16" s="174"/>
      <c r="B16" s="120" t="s">
        <v>208</v>
      </c>
      <c r="C16" s="121" t="s">
        <v>209</v>
      </c>
      <c r="D16" s="122">
        <f t="shared" si="1"/>
        <v>20000</v>
      </c>
      <c r="E16" s="122">
        <v>20000</v>
      </c>
      <c r="F16" s="122"/>
      <c r="G16" s="122"/>
      <c r="H16" s="122"/>
      <c r="I16" s="122"/>
      <c r="J16" s="122"/>
      <c r="K16" s="122"/>
    </row>
    <row r="17" spans="1:11" s="98" customFormat="1" ht="12.75">
      <c r="A17" s="174" t="s">
        <v>186</v>
      </c>
      <c r="B17" s="117"/>
      <c r="C17" s="118" t="s">
        <v>210</v>
      </c>
      <c r="D17" s="124">
        <f>D18+D19</f>
        <v>2439000</v>
      </c>
      <c r="E17" s="124">
        <f aca="true" t="shared" si="2" ref="E17:K17">E18+E19</f>
        <v>750000</v>
      </c>
      <c r="F17" s="124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  <c r="J17" s="124">
        <f t="shared" si="2"/>
        <v>0</v>
      </c>
      <c r="K17" s="124">
        <f t="shared" si="2"/>
        <v>1689000</v>
      </c>
    </row>
    <row r="18" spans="1:11" s="44" customFormat="1" ht="12.75">
      <c r="A18" s="174"/>
      <c r="B18" s="120" t="s">
        <v>211</v>
      </c>
      <c r="C18" s="121" t="s">
        <v>212</v>
      </c>
      <c r="D18" s="122">
        <f t="shared" si="1"/>
        <v>160000</v>
      </c>
      <c r="E18" s="122"/>
      <c r="F18" s="122"/>
      <c r="G18" s="122"/>
      <c r="H18" s="122"/>
      <c r="I18" s="122"/>
      <c r="J18" s="122"/>
      <c r="K18" s="122">
        <f>3!G22+3a!F13</f>
        <v>160000</v>
      </c>
    </row>
    <row r="19" spans="1:11" s="44" customFormat="1" ht="12.75">
      <c r="A19" s="174"/>
      <c r="B19" s="120" t="s">
        <v>213</v>
      </c>
      <c r="C19" s="121" t="s">
        <v>214</v>
      </c>
      <c r="D19" s="122">
        <f t="shared" si="1"/>
        <v>2279000</v>
      </c>
      <c r="E19" s="122">
        <f>650000+100000</f>
        <v>750000</v>
      </c>
      <c r="F19" s="122"/>
      <c r="G19" s="122"/>
      <c r="H19" s="122"/>
      <c r="I19" s="122"/>
      <c r="J19" s="122"/>
      <c r="K19" s="122">
        <f>3!G30-3!G22+3a!F17-3a!F13</f>
        <v>1529000</v>
      </c>
    </row>
    <row r="20" spans="1:11" s="98" customFormat="1" ht="12.75">
      <c r="A20" s="174" t="s">
        <v>215</v>
      </c>
      <c r="B20" s="117"/>
      <c r="C20" s="118" t="s">
        <v>216</v>
      </c>
      <c r="D20" s="124">
        <f>D21</f>
        <v>106000</v>
      </c>
      <c r="E20" s="124">
        <f aca="true" t="shared" si="3" ref="E20:K20">E21</f>
        <v>106000</v>
      </c>
      <c r="F20" s="124">
        <f t="shared" si="3"/>
        <v>0</v>
      </c>
      <c r="G20" s="124">
        <f t="shared" si="3"/>
        <v>0</v>
      </c>
      <c r="H20" s="124">
        <f t="shared" si="3"/>
        <v>0</v>
      </c>
      <c r="I20" s="124">
        <f t="shared" si="3"/>
        <v>0</v>
      </c>
      <c r="J20" s="124">
        <f t="shared" si="3"/>
        <v>0</v>
      </c>
      <c r="K20" s="124">
        <f t="shared" si="3"/>
        <v>0</v>
      </c>
    </row>
    <row r="21" spans="1:11" s="44" customFormat="1" ht="12.75">
      <c r="A21" s="174"/>
      <c r="B21" s="120" t="s">
        <v>217</v>
      </c>
      <c r="C21" s="121" t="s">
        <v>209</v>
      </c>
      <c r="D21" s="122">
        <f t="shared" si="1"/>
        <v>106000</v>
      </c>
      <c r="E21" s="122">
        <f>13000+80000+13000</f>
        <v>106000</v>
      </c>
      <c r="F21" s="122"/>
      <c r="G21" s="122"/>
      <c r="H21" s="122"/>
      <c r="I21" s="122"/>
      <c r="J21" s="122"/>
      <c r="K21" s="122"/>
    </row>
    <row r="22" spans="1:11" s="98" customFormat="1" ht="12.75">
      <c r="A22" s="174" t="s">
        <v>218</v>
      </c>
      <c r="B22" s="117"/>
      <c r="C22" s="118" t="s">
        <v>219</v>
      </c>
      <c r="D22" s="124">
        <f>D23+D24+D25</f>
        <v>385000</v>
      </c>
      <c r="E22" s="124">
        <f aca="true" t="shared" si="4" ref="E22:K22">E23+E24+E25</f>
        <v>215000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4">
        <f t="shared" si="4"/>
        <v>0</v>
      </c>
      <c r="J22" s="124">
        <f t="shared" si="4"/>
        <v>0</v>
      </c>
      <c r="K22" s="124">
        <f t="shared" si="4"/>
        <v>170000</v>
      </c>
    </row>
    <row r="23" spans="1:11" s="45" customFormat="1" ht="25.5">
      <c r="A23" s="174"/>
      <c r="B23" s="120" t="s">
        <v>220</v>
      </c>
      <c r="C23" s="121" t="s">
        <v>221</v>
      </c>
      <c r="D23" s="122">
        <f t="shared" si="1"/>
        <v>160000</v>
      </c>
      <c r="E23" s="125">
        <f>110000+50000</f>
        <v>160000</v>
      </c>
      <c r="F23" s="126"/>
      <c r="G23" s="126"/>
      <c r="H23" s="126"/>
      <c r="I23" s="126"/>
      <c r="J23" s="126"/>
      <c r="K23" s="126"/>
    </row>
    <row r="24" spans="1:11" ht="25.5">
      <c r="A24" s="174"/>
      <c r="B24" s="120" t="s">
        <v>222</v>
      </c>
      <c r="C24" s="121" t="s">
        <v>223</v>
      </c>
      <c r="D24" s="122">
        <f t="shared" si="1"/>
        <v>135000</v>
      </c>
      <c r="E24" s="127">
        <v>35000</v>
      </c>
      <c r="F24" s="127"/>
      <c r="G24" s="127"/>
      <c r="H24" s="157"/>
      <c r="I24" s="127"/>
      <c r="J24" s="127"/>
      <c r="K24" s="127">
        <f>3a!F19</f>
        <v>100000</v>
      </c>
    </row>
    <row r="25" spans="1:11" ht="12.75">
      <c r="A25" s="174"/>
      <c r="B25" s="120" t="s">
        <v>224</v>
      </c>
      <c r="C25" s="121" t="s">
        <v>209</v>
      </c>
      <c r="D25" s="122">
        <f t="shared" si="1"/>
        <v>90000</v>
      </c>
      <c r="E25" s="127">
        <v>20000</v>
      </c>
      <c r="F25" s="127"/>
      <c r="G25" s="127"/>
      <c r="H25" s="157"/>
      <c r="I25" s="127"/>
      <c r="J25" s="127"/>
      <c r="K25" s="127">
        <f>3!G32</f>
        <v>70000</v>
      </c>
    </row>
    <row r="26" spans="1:11" s="58" customFormat="1" ht="16.5" customHeight="1">
      <c r="A26" s="174" t="s">
        <v>225</v>
      </c>
      <c r="B26" s="128"/>
      <c r="C26" s="129" t="s">
        <v>226</v>
      </c>
      <c r="D26" s="130">
        <f>D27+D28</f>
        <v>202000</v>
      </c>
      <c r="E26" s="130">
        <f aca="true" t="shared" si="5" ref="E26:K26">E27+E28</f>
        <v>202000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</row>
    <row r="27" spans="1:11" ht="29.25" customHeight="1">
      <c r="A27" s="174"/>
      <c r="B27" s="120" t="s">
        <v>227</v>
      </c>
      <c r="C27" s="121" t="s">
        <v>228</v>
      </c>
      <c r="D27" s="122">
        <f t="shared" si="1"/>
        <v>200000</v>
      </c>
      <c r="E27" s="127">
        <v>200000</v>
      </c>
      <c r="F27" s="127"/>
      <c r="G27" s="127"/>
      <c r="H27" s="158"/>
      <c r="I27" s="127"/>
      <c r="J27" s="127"/>
      <c r="K27" s="127"/>
    </row>
    <row r="28" spans="1:11" ht="12.75">
      <c r="A28" s="174"/>
      <c r="B28" s="120" t="s">
        <v>229</v>
      </c>
      <c r="C28" s="121" t="s">
        <v>230</v>
      </c>
      <c r="D28" s="122">
        <f t="shared" si="1"/>
        <v>2000</v>
      </c>
      <c r="E28" s="127">
        <v>2000</v>
      </c>
      <c r="F28" s="127"/>
      <c r="G28" s="127"/>
      <c r="H28" s="158"/>
      <c r="I28" s="127"/>
      <c r="J28" s="127"/>
      <c r="K28" s="127"/>
    </row>
    <row r="29" spans="1:11" s="58" customFormat="1" ht="12.75">
      <c r="A29" s="174" t="s">
        <v>231</v>
      </c>
      <c r="B29" s="128"/>
      <c r="C29" s="129" t="s">
        <v>232</v>
      </c>
      <c r="D29" s="130">
        <f>D30+D31+D32+D33+D34</f>
        <v>5923209</v>
      </c>
      <c r="E29" s="130">
        <f aca="true" t="shared" si="6" ref="E29:K29">E30+E31+E32+E33+E34</f>
        <v>5823209</v>
      </c>
      <c r="F29" s="130">
        <f t="shared" si="6"/>
        <v>3613615</v>
      </c>
      <c r="G29" s="130">
        <f t="shared" si="6"/>
        <v>667119</v>
      </c>
      <c r="H29" s="130">
        <f t="shared" si="6"/>
        <v>0</v>
      </c>
      <c r="I29" s="130">
        <f t="shared" si="6"/>
        <v>0</v>
      </c>
      <c r="J29" s="130">
        <f t="shared" si="6"/>
        <v>0</v>
      </c>
      <c r="K29" s="130">
        <f t="shared" si="6"/>
        <v>100000</v>
      </c>
    </row>
    <row r="30" spans="1:11" ht="12.75">
      <c r="A30" s="174"/>
      <c r="B30" s="120" t="s">
        <v>233</v>
      </c>
      <c r="C30" s="121" t="s">
        <v>234</v>
      </c>
      <c r="D30" s="122">
        <f t="shared" si="1"/>
        <v>329389</v>
      </c>
      <c r="E30" s="127">
        <v>329389</v>
      </c>
      <c r="F30" s="127">
        <v>253383</v>
      </c>
      <c r="G30" s="127">
        <v>46006</v>
      </c>
      <c r="H30" s="158"/>
      <c r="I30" s="127"/>
      <c r="J30" s="127"/>
      <c r="K30" s="127"/>
    </row>
    <row r="31" spans="1:11" ht="31.5" customHeight="1">
      <c r="A31" s="174"/>
      <c r="B31" s="120" t="s">
        <v>235</v>
      </c>
      <c r="C31" s="121" t="s">
        <v>236</v>
      </c>
      <c r="D31" s="122">
        <f t="shared" si="1"/>
        <v>160000</v>
      </c>
      <c r="E31" s="127">
        <v>160000</v>
      </c>
      <c r="F31" s="127"/>
      <c r="G31" s="127"/>
      <c r="H31" s="158"/>
      <c r="I31" s="127"/>
      <c r="J31" s="127"/>
      <c r="K31" s="127"/>
    </row>
    <row r="32" spans="1:11" ht="25.5">
      <c r="A32" s="174"/>
      <c r="B32" s="120" t="s">
        <v>237</v>
      </c>
      <c r="C32" s="121" t="s">
        <v>238</v>
      </c>
      <c r="D32" s="122">
        <f>E32+K32</f>
        <v>5082971</v>
      </c>
      <c r="E32" s="127">
        <f>4970360+50000+13000+49611-100000</f>
        <v>4982971</v>
      </c>
      <c r="F32" s="127">
        <f>3338885-100000</f>
        <v>3238885</v>
      </c>
      <c r="G32" s="127">
        <f>596475</f>
        <v>596475</v>
      </c>
      <c r="H32" s="158"/>
      <c r="I32" s="127"/>
      <c r="J32" s="127"/>
      <c r="K32" s="127">
        <f>3a!F22</f>
        <v>100000</v>
      </c>
    </row>
    <row r="33" spans="1:11" ht="25.5">
      <c r="A33" s="174"/>
      <c r="B33" s="120">
        <v>75075</v>
      </c>
      <c r="C33" s="121" t="s">
        <v>335</v>
      </c>
      <c r="D33" s="122">
        <f t="shared" si="1"/>
        <v>100000</v>
      </c>
      <c r="E33" s="127">
        <f>270000-170000</f>
        <v>100000</v>
      </c>
      <c r="F33" s="127">
        <v>5000</v>
      </c>
      <c r="G33" s="127">
        <v>985</v>
      </c>
      <c r="H33" s="158"/>
      <c r="I33" s="127"/>
      <c r="J33" s="127"/>
      <c r="K33" s="127"/>
    </row>
    <row r="34" spans="1:11" ht="12.75">
      <c r="A34" s="174"/>
      <c r="B34" s="120" t="s">
        <v>239</v>
      </c>
      <c r="C34" s="121" t="s">
        <v>209</v>
      </c>
      <c r="D34" s="122">
        <f t="shared" si="1"/>
        <v>250849</v>
      </c>
      <c r="E34" s="127">
        <f>100849+150000</f>
        <v>250849</v>
      </c>
      <c r="F34" s="127">
        <v>116347</v>
      </c>
      <c r="G34" s="127">
        <v>23653</v>
      </c>
      <c r="H34" s="158"/>
      <c r="I34" s="127"/>
      <c r="J34" s="127"/>
      <c r="K34" s="127"/>
    </row>
    <row r="35" spans="1:11" s="58" customFormat="1" ht="38.25">
      <c r="A35" s="174">
        <v>751</v>
      </c>
      <c r="B35" s="128"/>
      <c r="C35" s="129" t="s">
        <v>240</v>
      </c>
      <c r="D35" s="130">
        <f>D36</f>
        <v>3677</v>
      </c>
      <c r="E35" s="130">
        <f aca="true" t="shared" si="7" ref="E35:K35">E36</f>
        <v>3677</v>
      </c>
      <c r="F35" s="130">
        <f t="shared" si="7"/>
        <v>3074</v>
      </c>
      <c r="G35" s="130">
        <f t="shared" si="7"/>
        <v>603</v>
      </c>
      <c r="H35" s="130">
        <f t="shared" si="7"/>
        <v>0</v>
      </c>
      <c r="I35" s="130">
        <f t="shared" si="7"/>
        <v>0</v>
      </c>
      <c r="J35" s="130">
        <f t="shared" si="7"/>
        <v>0</v>
      </c>
      <c r="K35" s="130">
        <f t="shared" si="7"/>
        <v>0</v>
      </c>
    </row>
    <row r="36" spans="1:11" ht="25.5">
      <c r="A36" s="174"/>
      <c r="B36" s="120">
        <v>75101</v>
      </c>
      <c r="C36" s="121" t="s">
        <v>241</v>
      </c>
      <c r="D36" s="122">
        <f t="shared" si="1"/>
        <v>3677</v>
      </c>
      <c r="E36" s="127">
        <v>3677</v>
      </c>
      <c r="F36" s="127">
        <v>3074</v>
      </c>
      <c r="G36" s="127">
        <v>603</v>
      </c>
      <c r="H36" s="158"/>
      <c r="I36" s="127"/>
      <c r="J36" s="127"/>
      <c r="K36" s="127"/>
    </row>
    <row r="37" spans="1:11" s="58" customFormat="1" ht="25.5">
      <c r="A37" s="174" t="s">
        <v>242</v>
      </c>
      <c r="B37" s="128"/>
      <c r="C37" s="129" t="s">
        <v>243</v>
      </c>
      <c r="D37" s="130">
        <f>D38+D39+D40+D41</f>
        <v>350836</v>
      </c>
      <c r="E37" s="130">
        <f aca="true" t="shared" si="8" ref="E37:K37">E38+E39+E40+E41</f>
        <v>350836</v>
      </c>
      <c r="F37" s="130">
        <f t="shared" si="8"/>
        <v>150763</v>
      </c>
      <c r="G37" s="130">
        <f t="shared" si="8"/>
        <v>27373</v>
      </c>
      <c r="H37" s="130">
        <f t="shared" si="8"/>
        <v>0</v>
      </c>
      <c r="I37" s="130">
        <f t="shared" si="8"/>
        <v>0</v>
      </c>
      <c r="J37" s="130">
        <f t="shared" si="8"/>
        <v>0</v>
      </c>
      <c r="K37" s="130">
        <f t="shared" si="8"/>
        <v>0</v>
      </c>
    </row>
    <row r="38" spans="1:11" ht="12.75">
      <c r="A38" s="174"/>
      <c r="B38" s="120" t="s">
        <v>244</v>
      </c>
      <c r="C38" s="121" t="s">
        <v>245</v>
      </c>
      <c r="D38" s="122">
        <f t="shared" si="1"/>
        <v>150000</v>
      </c>
      <c r="E38" s="127">
        <v>150000</v>
      </c>
      <c r="F38" s="127"/>
      <c r="G38" s="127"/>
      <c r="H38" s="158"/>
      <c r="I38" s="127"/>
      <c r="J38" s="127"/>
      <c r="K38" s="127"/>
    </row>
    <row r="39" spans="1:11" ht="12.75">
      <c r="A39" s="174"/>
      <c r="B39" s="120" t="s">
        <v>246</v>
      </c>
      <c r="C39" s="121" t="s">
        <v>247</v>
      </c>
      <c r="D39" s="122">
        <f t="shared" si="1"/>
        <v>5000</v>
      </c>
      <c r="E39" s="127">
        <v>5000</v>
      </c>
      <c r="F39" s="127"/>
      <c r="G39" s="127"/>
      <c r="H39" s="158"/>
      <c r="I39" s="127"/>
      <c r="J39" s="127"/>
      <c r="K39" s="127"/>
    </row>
    <row r="40" spans="1:11" ht="12.75">
      <c r="A40" s="174"/>
      <c r="B40" s="120" t="s">
        <v>248</v>
      </c>
      <c r="C40" s="121" t="s">
        <v>249</v>
      </c>
      <c r="D40" s="122">
        <f t="shared" si="1"/>
        <v>193836</v>
      </c>
      <c r="E40" s="127">
        <v>193836</v>
      </c>
      <c r="F40" s="127">
        <v>150763</v>
      </c>
      <c r="G40" s="127">
        <v>27373</v>
      </c>
      <c r="H40" s="158"/>
      <c r="I40" s="127"/>
      <c r="J40" s="127"/>
      <c r="K40" s="127"/>
    </row>
    <row r="41" spans="1:11" ht="20.25" customHeight="1">
      <c r="A41" s="174"/>
      <c r="B41" s="120" t="s">
        <v>250</v>
      </c>
      <c r="C41" s="121" t="s">
        <v>209</v>
      </c>
      <c r="D41" s="122">
        <f t="shared" si="1"/>
        <v>2000</v>
      </c>
      <c r="E41" s="127">
        <v>2000</v>
      </c>
      <c r="F41" s="127"/>
      <c r="G41" s="127"/>
      <c r="H41" s="158"/>
      <c r="I41" s="127"/>
      <c r="J41" s="127"/>
      <c r="K41" s="127"/>
    </row>
    <row r="42" spans="1:11" s="58" customFormat="1" ht="63.75">
      <c r="A42" s="174" t="s">
        <v>251</v>
      </c>
      <c r="B42" s="128"/>
      <c r="C42" s="129" t="s">
        <v>252</v>
      </c>
      <c r="D42" s="130">
        <f>D43</f>
        <v>105884</v>
      </c>
      <c r="E42" s="130">
        <f aca="true" t="shared" si="9" ref="E42:K42">E43</f>
        <v>105884</v>
      </c>
      <c r="F42" s="130">
        <f t="shared" si="9"/>
        <v>104702</v>
      </c>
      <c r="G42" s="130">
        <f t="shared" si="9"/>
        <v>1182</v>
      </c>
      <c r="H42" s="130">
        <f t="shared" si="9"/>
        <v>0</v>
      </c>
      <c r="I42" s="130">
        <f t="shared" si="9"/>
        <v>0</v>
      </c>
      <c r="J42" s="130">
        <f t="shared" si="9"/>
        <v>0</v>
      </c>
      <c r="K42" s="130">
        <f t="shared" si="9"/>
        <v>0</v>
      </c>
    </row>
    <row r="43" spans="1:11" ht="38.25">
      <c r="A43" s="174"/>
      <c r="B43" s="120" t="s">
        <v>253</v>
      </c>
      <c r="C43" s="121" t="s">
        <v>254</v>
      </c>
      <c r="D43" s="122">
        <f t="shared" si="1"/>
        <v>105884</v>
      </c>
      <c r="E43" s="127">
        <v>105884</v>
      </c>
      <c r="F43" s="127">
        <v>104702</v>
      </c>
      <c r="G43" s="127">
        <v>1182</v>
      </c>
      <c r="H43" s="158"/>
      <c r="I43" s="127"/>
      <c r="J43" s="127"/>
      <c r="K43" s="127"/>
    </row>
    <row r="44" spans="1:11" s="58" customFormat="1" ht="12.75">
      <c r="A44" s="174" t="s">
        <v>255</v>
      </c>
      <c r="B44" s="128"/>
      <c r="C44" s="129" t="s">
        <v>256</v>
      </c>
      <c r="D44" s="130">
        <f>D45+D46</f>
        <v>696154</v>
      </c>
      <c r="E44" s="130">
        <f aca="true" t="shared" si="10" ref="E44:K44">E45+E46</f>
        <v>696154</v>
      </c>
      <c r="F44" s="130">
        <f t="shared" si="10"/>
        <v>0</v>
      </c>
      <c r="G44" s="130">
        <f t="shared" si="10"/>
        <v>0</v>
      </c>
      <c r="H44" s="130">
        <f t="shared" si="10"/>
        <v>0</v>
      </c>
      <c r="I44" s="130">
        <f t="shared" si="10"/>
        <v>300000</v>
      </c>
      <c r="J44" s="130">
        <f t="shared" si="10"/>
        <v>396154</v>
      </c>
      <c r="K44" s="130">
        <f t="shared" si="10"/>
        <v>0</v>
      </c>
    </row>
    <row r="45" spans="1:11" ht="44.25" customHeight="1">
      <c r="A45" s="174"/>
      <c r="B45" s="120" t="s">
        <v>257</v>
      </c>
      <c r="C45" s="121" t="s">
        <v>258</v>
      </c>
      <c r="D45" s="122">
        <f t="shared" si="1"/>
        <v>300000</v>
      </c>
      <c r="E45" s="127">
        <v>300000</v>
      </c>
      <c r="F45" s="127"/>
      <c r="G45" s="127"/>
      <c r="H45" s="158"/>
      <c r="I45" s="127">
        <v>300000</v>
      </c>
      <c r="J45" s="127"/>
      <c r="K45" s="127"/>
    </row>
    <row r="46" spans="1:11" ht="60" customHeight="1">
      <c r="A46" s="174"/>
      <c r="B46" s="120" t="s">
        <v>259</v>
      </c>
      <c r="C46" s="121" t="s">
        <v>260</v>
      </c>
      <c r="D46" s="122">
        <f t="shared" si="1"/>
        <v>396154</v>
      </c>
      <c r="E46" s="127">
        <f>J46</f>
        <v>396154</v>
      </c>
      <c r="F46" s="127"/>
      <c r="G46" s="127"/>
      <c r="H46" s="158"/>
      <c r="I46" s="127"/>
      <c r="J46" s="127">
        <f>310000+86154</f>
        <v>396154</v>
      </c>
      <c r="K46" s="127"/>
    </row>
    <row r="47" spans="1:11" s="58" customFormat="1" ht="21.75" customHeight="1">
      <c r="A47" s="189">
        <v>758</v>
      </c>
      <c r="B47" s="148"/>
      <c r="C47" s="147" t="s">
        <v>403</v>
      </c>
      <c r="D47" s="126">
        <f>D48</f>
        <v>420000</v>
      </c>
      <c r="E47" s="126">
        <f aca="true" t="shared" si="11" ref="E47:K47">E48</f>
        <v>420000</v>
      </c>
      <c r="F47" s="126">
        <f t="shared" si="11"/>
        <v>0</v>
      </c>
      <c r="G47" s="126">
        <f t="shared" si="11"/>
        <v>0</v>
      </c>
      <c r="H47" s="126">
        <f t="shared" si="11"/>
        <v>0</v>
      </c>
      <c r="I47" s="126">
        <f t="shared" si="11"/>
        <v>0</v>
      </c>
      <c r="J47" s="126">
        <f t="shared" si="11"/>
        <v>0</v>
      </c>
      <c r="K47" s="126">
        <f t="shared" si="11"/>
        <v>0</v>
      </c>
    </row>
    <row r="48" spans="1:11" ht="22.5" customHeight="1">
      <c r="A48" s="190"/>
      <c r="B48" s="21">
        <v>75818</v>
      </c>
      <c r="C48" s="146" t="s">
        <v>461</v>
      </c>
      <c r="D48" s="122">
        <f>E48</f>
        <v>420000</v>
      </c>
      <c r="E48" s="127">
        <v>420000</v>
      </c>
      <c r="F48" s="127"/>
      <c r="G48" s="127"/>
      <c r="H48" s="157"/>
      <c r="I48" s="127"/>
      <c r="J48" s="127"/>
      <c r="K48" s="127"/>
    </row>
    <row r="49" spans="1:11" s="58" customFormat="1" ht="12.75">
      <c r="A49" s="189" t="s">
        <v>261</v>
      </c>
      <c r="B49" s="128"/>
      <c r="C49" s="129" t="s">
        <v>262</v>
      </c>
      <c r="D49" s="130">
        <f>D50+D51+D52+D53+D54+D55+D56+D57</f>
        <v>16285741</v>
      </c>
      <c r="E49" s="130">
        <f aca="true" t="shared" si="12" ref="E49:K49">E50+E51+E52+E53+E54+E55+E56+E57</f>
        <v>16205741</v>
      </c>
      <c r="F49" s="130">
        <f t="shared" si="12"/>
        <v>9646511</v>
      </c>
      <c r="G49" s="130">
        <f t="shared" si="12"/>
        <v>1892917</v>
      </c>
      <c r="H49" s="130">
        <f t="shared" si="12"/>
        <v>1996808</v>
      </c>
      <c r="I49" s="130">
        <f t="shared" si="12"/>
        <v>0</v>
      </c>
      <c r="J49" s="130">
        <f t="shared" si="12"/>
        <v>0</v>
      </c>
      <c r="K49" s="130">
        <f t="shared" si="12"/>
        <v>80000</v>
      </c>
    </row>
    <row r="50" spans="1:11" ht="12.75">
      <c r="A50" s="191"/>
      <c r="B50" s="120" t="s">
        <v>263</v>
      </c>
      <c r="C50" s="121" t="s">
        <v>264</v>
      </c>
      <c r="D50" s="122">
        <f>E50+K50</f>
        <v>7835559</v>
      </c>
      <c r="E50" s="127">
        <f>7553500+232059</f>
        <v>7785559</v>
      </c>
      <c r="F50" s="127">
        <f>5258961+162000+38000</f>
        <v>5458961</v>
      </c>
      <c r="G50" s="127">
        <f>1032860+28090+3969</f>
        <v>1064919</v>
      </c>
      <c r="H50" s="158"/>
      <c r="I50" s="127"/>
      <c r="J50" s="127"/>
      <c r="K50" s="127">
        <f>3a!F23</f>
        <v>50000</v>
      </c>
    </row>
    <row r="51" spans="1:11" ht="25.5">
      <c r="A51" s="191"/>
      <c r="B51" s="120" t="s">
        <v>265</v>
      </c>
      <c r="C51" s="121" t="s">
        <v>266</v>
      </c>
      <c r="D51" s="122">
        <f t="shared" si="1"/>
        <v>584718</v>
      </c>
      <c r="E51" s="127">
        <f>563156+21562</f>
        <v>584718</v>
      </c>
      <c r="F51" s="127">
        <f>419160+18000</f>
        <v>437160</v>
      </c>
      <c r="G51" s="127">
        <f>87569+3121+441</f>
        <v>91131</v>
      </c>
      <c r="H51" s="158"/>
      <c r="I51" s="127"/>
      <c r="J51" s="127"/>
      <c r="K51" s="127"/>
    </row>
    <row r="52" spans="1:11" ht="12.75">
      <c r="A52" s="191"/>
      <c r="B52" s="120" t="s">
        <v>267</v>
      </c>
      <c r="C52" s="121" t="s">
        <v>268</v>
      </c>
      <c r="D52" s="122">
        <f t="shared" si="1"/>
        <v>1766227</v>
      </c>
      <c r="E52" s="127">
        <v>1766227</v>
      </c>
      <c r="F52" s="127"/>
      <c r="G52" s="127"/>
      <c r="H52" s="158">
        <v>1766227</v>
      </c>
      <c r="I52" s="127"/>
      <c r="J52" s="127"/>
      <c r="K52" s="127"/>
    </row>
    <row r="53" spans="1:11" ht="12.75">
      <c r="A53" s="191"/>
      <c r="B53" s="120" t="s">
        <v>269</v>
      </c>
      <c r="C53" s="121" t="s">
        <v>270</v>
      </c>
      <c r="D53" s="122">
        <f t="shared" si="1"/>
        <v>4931108</v>
      </c>
      <c r="E53" s="127">
        <f>4707431+193677</f>
        <v>4901108</v>
      </c>
      <c r="F53" s="127">
        <f>3292492+100000</f>
        <v>3392492</v>
      </c>
      <c r="G53" s="127">
        <f>646645+17340+2450</f>
        <v>666435</v>
      </c>
      <c r="H53" s="158">
        <v>230581</v>
      </c>
      <c r="I53" s="127"/>
      <c r="J53" s="127"/>
      <c r="K53" s="127">
        <f>3a!F24</f>
        <v>30000</v>
      </c>
    </row>
    <row r="54" spans="1:11" ht="12.75">
      <c r="A54" s="191"/>
      <c r="B54" s="120">
        <v>80113</v>
      </c>
      <c r="C54" s="121" t="s">
        <v>446</v>
      </c>
      <c r="D54" s="122">
        <f t="shared" si="1"/>
        <v>468302</v>
      </c>
      <c r="E54" s="127">
        <v>468302</v>
      </c>
      <c r="F54" s="127">
        <v>23316</v>
      </c>
      <c r="G54" s="127">
        <v>4614</v>
      </c>
      <c r="H54" s="158"/>
      <c r="I54" s="127"/>
      <c r="J54" s="127"/>
      <c r="K54" s="127"/>
    </row>
    <row r="55" spans="1:11" ht="25.5">
      <c r="A55" s="191"/>
      <c r="B55" s="120" t="s">
        <v>271</v>
      </c>
      <c r="C55" s="121" t="s">
        <v>272</v>
      </c>
      <c r="D55" s="122">
        <f t="shared" si="1"/>
        <v>533069</v>
      </c>
      <c r="E55" s="127">
        <v>533069</v>
      </c>
      <c r="F55" s="127">
        <v>334582</v>
      </c>
      <c r="G55" s="127">
        <v>65818</v>
      </c>
      <c r="H55" s="158"/>
      <c r="I55" s="127"/>
      <c r="J55" s="127"/>
      <c r="K55" s="127"/>
    </row>
    <row r="56" spans="1:11" ht="25.5">
      <c r="A56" s="191"/>
      <c r="B56" s="120" t="s">
        <v>273</v>
      </c>
      <c r="C56" s="121" t="s">
        <v>274</v>
      </c>
      <c r="D56" s="122">
        <f t="shared" si="1"/>
        <v>80644</v>
      </c>
      <c r="E56" s="127">
        <v>80644</v>
      </c>
      <c r="F56" s="127"/>
      <c r="G56" s="127"/>
      <c r="H56" s="158"/>
      <c r="I56" s="127"/>
      <c r="J56" s="127"/>
      <c r="K56" s="127"/>
    </row>
    <row r="57" spans="1:11" ht="12.75">
      <c r="A57" s="190"/>
      <c r="B57" s="120" t="s">
        <v>275</v>
      </c>
      <c r="C57" s="121" t="s">
        <v>209</v>
      </c>
      <c r="D57" s="122">
        <f t="shared" si="1"/>
        <v>86114</v>
      </c>
      <c r="E57" s="127">
        <v>86114</v>
      </c>
      <c r="F57" s="127"/>
      <c r="G57" s="127"/>
      <c r="H57" s="158"/>
      <c r="I57" s="127"/>
      <c r="J57" s="127"/>
      <c r="K57" s="127"/>
    </row>
    <row r="58" spans="1:11" s="58" customFormat="1" ht="12.75">
      <c r="A58" s="174" t="s">
        <v>276</v>
      </c>
      <c r="B58" s="128"/>
      <c r="C58" s="129" t="s">
        <v>277</v>
      </c>
      <c r="D58" s="130">
        <f>D59+D61+D60</f>
        <v>247000</v>
      </c>
      <c r="E58" s="130">
        <f aca="true" t="shared" si="13" ref="E58:K58">E59+E61+E60</f>
        <v>247000</v>
      </c>
      <c r="F58" s="130">
        <f t="shared" si="13"/>
        <v>66816</v>
      </c>
      <c r="G58" s="130">
        <f t="shared" si="13"/>
        <v>9507</v>
      </c>
      <c r="H58" s="130">
        <f t="shared" si="13"/>
        <v>65000</v>
      </c>
      <c r="I58" s="130">
        <f t="shared" si="13"/>
        <v>0</v>
      </c>
      <c r="J58" s="130">
        <f t="shared" si="13"/>
        <v>0</v>
      </c>
      <c r="K58" s="130">
        <f t="shared" si="13"/>
        <v>0</v>
      </c>
    </row>
    <row r="59" spans="1:11" ht="12.75">
      <c r="A59" s="174"/>
      <c r="B59" s="120" t="s">
        <v>278</v>
      </c>
      <c r="C59" s="121" t="s">
        <v>279</v>
      </c>
      <c r="D59" s="122">
        <f t="shared" si="1"/>
        <v>20000</v>
      </c>
      <c r="E59" s="127">
        <v>20000</v>
      </c>
      <c r="F59" s="127"/>
      <c r="G59" s="127"/>
      <c r="H59" s="158">
        <v>20000</v>
      </c>
      <c r="I59" s="127"/>
      <c r="J59" s="127"/>
      <c r="K59" s="127"/>
    </row>
    <row r="60" spans="1:11" ht="12.75">
      <c r="A60" s="174"/>
      <c r="B60" s="120">
        <v>85153</v>
      </c>
      <c r="C60" s="121" t="s">
        <v>437</v>
      </c>
      <c r="D60" s="122">
        <f>E60+K60</f>
        <v>13000</v>
      </c>
      <c r="E60" s="127">
        <v>13000</v>
      </c>
      <c r="F60" s="127"/>
      <c r="G60" s="127"/>
      <c r="H60" s="158"/>
      <c r="I60" s="127"/>
      <c r="J60" s="127"/>
      <c r="K60" s="127"/>
    </row>
    <row r="61" spans="1:11" ht="12.75">
      <c r="A61" s="174"/>
      <c r="B61" s="120" t="s">
        <v>280</v>
      </c>
      <c r="C61" s="121" t="s">
        <v>281</v>
      </c>
      <c r="D61" s="122">
        <f>E61+K61</f>
        <v>214000</v>
      </c>
      <c r="E61" s="127">
        <v>214000</v>
      </c>
      <c r="F61" s="127">
        <v>66816</v>
      </c>
      <c r="G61" s="127">
        <v>9507</v>
      </c>
      <c r="H61" s="158">
        <v>45000</v>
      </c>
      <c r="I61" s="127"/>
      <c r="J61" s="127"/>
      <c r="K61" s="127"/>
    </row>
    <row r="62" spans="1:11" s="58" customFormat="1" ht="12.75">
      <c r="A62" s="174" t="s">
        <v>282</v>
      </c>
      <c r="B62" s="128"/>
      <c r="C62" s="129" t="s">
        <v>283</v>
      </c>
      <c r="D62" s="130">
        <f>D63+D64+D65+D66+D67+D68+D69+D70</f>
        <v>11412688</v>
      </c>
      <c r="E62" s="130">
        <f aca="true" t="shared" si="14" ref="E62:K62">E63+E64+E65+E66+E67+E68+E69+E70</f>
        <v>11412688</v>
      </c>
      <c r="F62" s="130">
        <f t="shared" si="14"/>
        <v>1095423</v>
      </c>
      <c r="G62" s="130">
        <f t="shared" si="14"/>
        <v>332959</v>
      </c>
      <c r="H62" s="130">
        <f t="shared" si="14"/>
        <v>0</v>
      </c>
      <c r="I62" s="130">
        <f t="shared" si="14"/>
        <v>0</v>
      </c>
      <c r="J62" s="130">
        <f t="shared" si="14"/>
        <v>0</v>
      </c>
      <c r="K62" s="130">
        <f t="shared" si="14"/>
        <v>0</v>
      </c>
    </row>
    <row r="63" spans="1:11" ht="12.75">
      <c r="A63" s="174"/>
      <c r="B63" s="120" t="s">
        <v>284</v>
      </c>
      <c r="C63" s="121" t="s">
        <v>285</v>
      </c>
      <c r="D63" s="122">
        <f t="shared" si="1"/>
        <v>58593</v>
      </c>
      <c r="E63" s="127">
        <v>58593</v>
      </c>
      <c r="F63" s="127"/>
      <c r="G63" s="127"/>
      <c r="H63" s="158"/>
      <c r="I63" s="127"/>
      <c r="J63" s="127"/>
      <c r="K63" s="127"/>
    </row>
    <row r="64" spans="1:11" ht="51">
      <c r="A64" s="174"/>
      <c r="B64" s="120">
        <v>85212</v>
      </c>
      <c r="C64" s="121" t="s">
        <v>286</v>
      </c>
      <c r="D64" s="122">
        <f t="shared" si="1"/>
        <v>8498529</v>
      </c>
      <c r="E64" s="127">
        <f>1!E82</f>
        <v>8498529</v>
      </c>
      <c r="F64" s="127">
        <v>162926</v>
      </c>
      <c r="G64" s="127">
        <v>86261</v>
      </c>
      <c r="H64" s="158"/>
      <c r="I64" s="127"/>
      <c r="J64" s="127"/>
      <c r="K64" s="127"/>
    </row>
    <row r="65" spans="1:11" ht="63.75">
      <c r="A65" s="174"/>
      <c r="B65" s="120">
        <v>85213</v>
      </c>
      <c r="C65" s="121" t="s">
        <v>287</v>
      </c>
      <c r="D65" s="122">
        <f t="shared" si="1"/>
        <v>77744</v>
      </c>
      <c r="E65" s="127">
        <f>1!E84</f>
        <v>77744</v>
      </c>
      <c r="F65" s="127"/>
      <c r="G65" s="127">
        <v>77744</v>
      </c>
      <c r="H65" s="158"/>
      <c r="I65" s="127"/>
      <c r="J65" s="127"/>
      <c r="K65" s="127"/>
    </row>
    <row r="66" spans="1:11" ht="38.25">
      <c r="A66" s="174"/>
      <c r="B66" s="120" t="s">
        <v>288</v>
      </c>
      <c r="C66" s="121" t="s">
        <v>289</v>
      </c>
      <c r="D66" s="122">
        <f t="shared" si="1"/>
        <v>439907</v>
      </c>
      <c r="E66" s="127">
        <v>439907</v>
      </c>
      <c r="F66" s="127"/>
      <c r="G66" s="127"/>
      <c r="H66" s="158"/>
      <c r="I66" s="127"/>
      <c r="J66" s="127"/>
      <c r="K66" s="127"/>
    </row>
    <row r="67" spans="1:11" ht="12.75">
      <c r="A67" s="174"/>
      <c r="B67" s="120" t="s">
        <v>290</v>
      </c>
      <c r="C67" s="121" t="s">
        <v>291</v>
      </c>
      <c r="D67" s="122">
        <f t="shared" si="1"/>
        <v>840000</v>
      </c>
      <c r="E67" s="127">
        <v>840000</v>
      </c>
      <c r="F67" s="127"/>
      <c r="G67" s="127"/>
      <c r="H67" s="158"/>
      <c r="I67" s="127"/>
      <c r="J67" s="127"/>
      <c r="K67" s="127"/>
    </row>
    <row r="68" spans="1:11" ht="12.75">
      <c r="A68" s="174"/>
      <c r="B68" s="120" t="s">
        <v>292</v>
      </c>
      <c r="C68" s="121" t="s">
        <v>293</v>
      </c>
      <c r="D68" s="122">
        <f t="shared" si="1"/>
        <v>820174</v>
      </c>
      <c r="E68" s="127">
        <v>820174</v>
      </c>
      <c r="F68" s="127">
        <v>637995</v>
      </c>
      <c r="G68" s="127">
        <v>110376</v>
      </c>
      <c r="H68" s="158"/>
      <c r="I68" s="127"/>
      <c r="J68" s="127"/>
      <c r="K68" s="127"/>
    </row>
    <row r="69" spans="1:11" ht="25.5">
      <c r="A69" s="174"/>
      <c r="B69" s="120" t="s">
        <v>294</v>
      </c>
      <c r="C69" s="121" t="s">
        <v>295</v>
      </c>
      <c r="D69" s="122">
        <f t="shared" si="1"/>
        <v>373086</v>
      </c>
      <c r="E69" s="127">
        <f>323086+50000</f>
        <v>373086</v>
      </c>
      <c r="F69" s="127">
        <f>14832+3630+215336+60704</f>
        <v>294502</v>
      </c>
      <c r="G69" s="127">
        <f>48142+6763+3220+453</f>
        <v>58578</v>
      </c>
      <c r="H69" s="158"/>
      <c r="I69" s="127"/>
      <c r="J69" s="127"/>
      <c r="K69" s="127"/>
    </row>
    <row r="70" spans="1:11" ht="12.75">
      <c r="A70" s="174"/>
      <c r="B70" s="120" t="s">
        <v>296</v>
      </c>
      <c r="C70" s="121" t="s">
        <v>209</v>
      </c>
      <c r="D70" s="122">
        <f t="shared" si="1"/>
        <v>304655</v>
      </c>
      <c r="E70" s="127">
        <f>284655+20000</f>
        <v>304655</v>
      </c>
      <c r="F70" s="127"/>
      <c r="G70" s="127"/>
      <c r="H70" s="158"/>
      <c r="I70" s="127"/>
      <c r="J70" s="127"/>
      <c r="K70" s="127"/>
    </row>
    <row r="71" spans="1:11" s="58" customFormat="1" ht="21.75" customHeight="1">
      <c r="A71" s="174" t="s">
        <v>297</v>
      </c>
      <c r="B71" s="128"/>
      <c r="C71" s="129" t="s">
        <v>298</v>
      </c>
      <c r="D71" s="130">
        <f>D72+D73+D74</f>
        <v>591404</v>
      </c>
      <c r="E71" s="130">
        <f aca="true" t="shared" si="15" ref="E71:K71">E72+E73+E74</f>
        <v>591404</v>
      </c>
      <c r="F71" s="130">
        <f t="shared" si="15"/>
        <v>453907</v>
      </c>
      <c r="G71" s="130">
        <f t="shared" si="15"/>
        <v>90481</v>
      </c>
      <c r="H71" s="130">
        <f t="shared" si="15"/>
        <v>0</v>
      </c>
      <c r="I71" s="130">
        <f t="shared" si="15"/>
        <v>0</v>
      </c>
      <c r="J71" s="130">
        <f t="shared" si="15"/>
        <v>0</v>
      </c>
      <c r="K71" s="130">
        <f t="shared" si="15"/>
        <v>0</v>
      </c>
    </row>
    <row r="72" spans="1:11" ht="12.75">
      <c r="A72" s="174"/>
      <c r="B72" s="120" t="s">
        <v>299</v>
      </c>
      <c r="C72" s="121" t="s">
        <v>300</v>
      </c>
      <c r="D72" s="122">
        <f t="shared" si="1"/>
        <v>574773</v>
      </c>
      <c r="E72" s="127">
        <f>562794+11979</f>
        <v>574773</v>
      </c>
      <c r="F72" s="127">
        <f>443907+10000</f>
        <v>453907</v>
      </c>
      <c r="G72" s="127">
        <f>88502+1734+245</f>
        <v>90481</v>
      </c>
      <c r="H72" s="158"/>
      <c r="I72" s="127"/>
      <c r="J72" s="127"/>
      <c r="K72" s="127"/>
    </row>
    <row r="73" spans="1:11" ht="25.5">
      <c r="A73" s="174"/>
      <c r="B73" s="120" t="s">
        <v>301</v>
      </c>
      <c r="C73" s="121" t="s">
        <v>274</v>
      </c>
      <c r="D73" s="122">
        <f t="shared" si="1"/>
        <v>2540</v>
      </c>
      <c r="E73" s="127">
        <v>2540</v>
      </c>
      <c r="F73" s="127"/>
      <c r="G73" s="127"/>
      <c r="H73" s="158"/>
      <c r="I73" s="127"/>
      <c r="J73" s="127"/>
      <c r="K73" s="127"/>
    </row>
    <row r="74" spans="1:11" ht="12.75">
      <c r="A74" s="174"/>
      <c r="B74" s="120" t="s">
        <v>302</v>
      </c>
      <c r="C74" s="121" t="s">
        <v>209</v>
      </c>
      <c r="D74" s="122">
        <f t="shared" si="1"/>
        <v>14091</v>
      </c>
      <c r="E74" s="127">
        <v>14091</v>
      </c>
      <c r="F74" s="127"/>
      <c r="G74" s="127"/>
      <c r="H74" s="158"/>
      <c r="I74" s="127"/>
      <c r="J74" s="127"/>
      <c r="K74" s="127"/>
    </row>
    <row r="75" spans="1:11" s="58" customFormat="1" ht="25.5">
      <c r="A75" s="189" t="s">
        <v>187</v>
      </c>
      <c r="B75" s="128"/>
      <c r="C75" s="129" t="s">
        <v>303</v>
      </c>
      <c r="D75" s="130">
        <f>D76+D77+D78+D79+D80+D81</f>
        <v>1518500</v>
      </c>
      <c r="E75" s="130">
        <f aca="true" t="shared" si="16" ref="E75:K75">E76+E77+E78+E79+E80+E81</f>
        <v>1343500</v>
      </c>
      <c r="F75" s="130">
        <f t="shared" si="16"/>
        <v>0</v>
      </c>
      <c r="G75" s="130">
        <f t="shared" si="16"/>
        <v>0</v>
      </c>
      <c r="H75" s="130">
        <f t="shared" si="16"/>
        <v>0</v>
      </c>
      <c r="I75" s="130">
        <f t="shared" si="16"/>
        <v>0</v>
      </c>
      <c r="J75" s="130">
        <f t="shared" si="16"/>
        <v>0</v>
      </c>
      <c r="K75" s="130">
        <f t="shared" si="16"/>
        <v>175000</v>
      </c>
    </row>
    <row r="76" spans="1:11" ht="12.75">
      <c r="A76" s="191"/>
      <c r="B76" s="120" t="s">
        <v>304</v>
      </c>
      <c r="C76" s="121" t="s">
        <v>305</v>
      </c>
      <c r="D76" s="122">
        <f t="shared" si="1"/>
        <v>20000</v>
      </c>
      <c r="E76" s="127">
        <v>20000</v>
      </c>
      <c r="F76" s="127"/>
      <c r="G76" s="127"/>
      <c r="H76" s="158"/>
      <c r="I76" s="127"/>
      <c r="J76" s="127"/>
      <c r="K76" s="127"/>
    </row>
    <row r="77" spans="1:11" ht="12.75">
      <c r="A77" s="191"/>
      <c r="B77" s="120">
        <v>90002</v>
      </c>
      <c r="C77" s="121" t="s">
        <v>460</v>
      </c>
      <c r="D77" s="122">
        <f>E77</f>
        <v>113500</v>
      </c>
      <c r="E77" s="127">
        <v>113500</v>
      </c>
      <c r="F77" s="127"/>
      <c r="G77" s="127"/>
      <c r="H77" s="158"/>
      <c r="I77" s="127"/>
      <c r="J77" s="127"/>
      <c r="K77" s="127"/>
    </row>
    <row r="78" spans="1:11" ht="12.75">
      <c r="A78" s="191"/>
      <c r="B78" s="120" t="s">
        <v>306</v>
      </c>
      <c r="C78" s="121" t="s">
        <v>307</v>
      </c>
      <c r="D78" s="122">
        <f t="shared" si="1"/>
        <v>400000</v>
      </c>
      <c r="E78" s="127">
        <v>400000</v>
      </c>
      <c r="F78" s="127"/>
      <c r="G78" s="127"/>
      <c r="H78" s="158"/>
      <c r="I78" s="127"/>
      <c r="J78" s="127"/>
      <c r="K78" s="127"/>
    </row>
    <row r="79" spans="1:11" ht="25.5">
      <c r="A79" s="191"/>
      <c r="B79" s="120" t="s">
        <v>308</v>
      </c>
      <c r="C79" s="121" t="s">
        <v>309</v>
      </c>
      <c r="D79" s="122">
        <f t="shared" si="1"/>
        <v>130000</v>
      </c>
      <c r="E79" s="127">
        <v>130000</v>
      </c>
      <c r="F79" s="127"/>
      <c r="G79" s="127"/>
      <c r="H79" s="158"/>
      <c r="I79" s="127"/>
      <c r="J79" s="127"/>
      <c r="K79" s="127"/>
    </row>
    <row r="80" spans="1:11" ht="12.75">
      <c r="A80" s="191"/>
      <c r="B80" s="120" t="s">
        <v>310</v>
      </c>
      <c r="C80" s="121" t="s">
        <v>311</v>
      </c>
      <c r="D80" s="122">
        <f t="shared" si="1"/>
        <v>725000</v>
      </c>
      <c r="E80" s="127">
        <v>650000</v>
      </c>
      <c r="F80" s="127"/>
      <c r="G80" s="127"/>
      <c r="H80" s="158"/>
      <c r="I80" s="127"/>
      <c r="J80" s="127"/>
      <c r="K80" s="127">
        <f>3!G34</f>
        <v>75000</v>
      </c>
    </row>
    <row r="81" spans="1:11" ht="12.75">
      <c r="A81" s="190"/>
      <c r="B81" s="120" t="s">
        <v>312</v>
      </c>
      <c r="C81" s="121" t="s">
        <v>209</v>
      </c>
      <c r="D81" s="122">
        <f t="shared" si="1"/>
        <v>130000</v>
      </c>
      <c r="E81" s="127">
        <f>20000+10000</f>
        <v>30000</v>
      </c>
      <c r="F81" s="127"/>
      <c r="G81" s="127"/>
      <c r="H81" s="158"/>
      <c r="I81" s="127"/>
      <c r="J81" s="127"/>
      <c r="K81" s="127">
        <f>3a!F27</f>
        <v>100000</v>
      </c>
    </row>
    <row r="82" spans="1:11" s="58" customFormat="1" ht="25.5">
      <c r="A82" s="174" t="s">
        <v>313</v>
      </c>
      <c r="B82" s="128"/>
      <c r="C82" s="129" t="s">
        <v>314</v>
      </c>
      <c r="D82" s="130">
        <f>D83+D84+D85+D86+D87</f>
        <v>1407000</v>
      </c>
      <c r="E82" s="130">
        <f aca="true" t="shared" si="17" ref="E82:K82">E83+E84+E85+E86+E87</f>
        <v>1307000</v>
      </c>
      <c r="F82" s="130">
        <f t="shared" si="17"/>
        <v>0</v>
      </c>
      <c r="G82" s="130">
        <f t="shared" si="17"/>
        <v>0</v>
      </c>
      <c r="H82" s="130">
        <f t="shared" si="17"/>
        <v>1287000</v>
      </c>
      <c r="I82" s="130">
        <f t="shared" si="17"/>
        <v>0</v>
      </c>
      <c r="J82" s="130">
        <f t="shared" si="17"/>
        <v>0</v>
      </c>
      <c r="K82" s="130">
        <f t="shared" si="17"/>
        <v>100000</v>
      </c>
    </row>
    <row r="83" spans="1:11" ht="25.5">
      <c r="A83" s="174"/>
      <c r="B83" s="120" t="s">
        <v>315</v>
      </c>
      <c r="C83" s="121" t="s">
        <v>316</v>
      </c>
      <c r="D83" s="122">
        <f t="shared" si="1"/>
        <v>575000</v>
      </c>
      <c r="E83" s="127">
        <f>H83</f>
        <v>575000</v>
      </c>
      <c r="F83" s="127"/>
      <c r="G83" s="127"/>
      <c r="H83" s="158">
        <v>575000</v>
      </c>
      <c r="I83" s="127"/>
      <c r="J83" s="127"/>
      <c r="K83" s="127"/>
    </row>
    <row r="84" spans="1:11" ht="12.75">
      <c r="A84" s="174"/>
      <c r="B84" s="120" t="s">
        <v>317</v>
      </c>
      <c r="C84" s="121" t="s">
        <v>318</v>
      </c>
      <c r="D84" s="122">
        <f t="shared" si="1"/>
        <v>535000</v>
      </c>
      <c r="E84" s="127">
        <v>535000</v>
      </c>
      <c r="F84" s="127"/>
      <c r="G84" s="127"/>
      <c r="H84" s="158">
        <v>535000</v>
      </c>
      <c r="I84" s="127"/>
      <c r="J84" s="127"/>
      <c r="K84" s="127"/>
    </row>
    <row r="85" spans="1:11" ht="12.75">
      <c r="A85" s="174"/>
      <c r="B85" s="120" t="s">
        <v>319</v>
      </c>
      <c r="C85" s="121" t="s">
        <v>320</v>
      </c>
      <c r="D85" s="122">
        <f aca="true" t="shared" si="18" ref="D85:D93">E85+K85</f>
        <v>177000</v>
      </c>
      <c r="E85" s="127">
        <f>137000+40000</f>
        <v>177000</v>
      </c>
      <c r="F85" s="127"/>
      <c r="G85" s="127"/>
      <c r="H85" s="158">
        <f>E85</f>
        <v>177000</v>
      </c>
      <c r="I85" s="127"/>
      <c r="J85" s="127"/>
      <c r="K85" s="127"/>
    </row>
    <row r="86" spans="1:11" ht="25.5">
      <c r="A86" s="174"/>
      <c r="B86" s="120">
        <v>92120</v>
      </c>
      <c r="C86" s="121" t="s">
        <v>480</v>
      </c>
      <c r="D86" s="122">
        <f t="shared" si="18"/>
        <v>100000</v>
      </c>
      <c r="E86" s="127"/>
      <c r="F86" s="127"/>
      <c r="G86" s="127"/>
      <c r="H86" s="158"/>
      <c r="I86" s="127"/>
      <c r="J86" s="127"/>
      <c r="K86" s="127">
        <f>3a!F29</f>
        <v>100000</v>
      </c>
    </row>
    <row r="87" spans="1:11" ht="12.75">
      <c r="A87" s="174"/>
      <c r="B87" s="120" t="s">
        <v>321</v>
      </c>
      <c r="C87" s="121" t="s">
        <v>209</v>
      </c>
      <c r="D87" s="122">
        <f t="shared" si="18"/>
        <v>20000</v>
      </c>
      <c r="E87" s="127">
        <v>20000</v>
      </c>
      <c r="F87" s="127"/>
      <c r="G87" s="127"/>
      <c r="H87" s="158"/>
      <c r="I87" s="127"/>
      <c r="J87" s="127"/>
      <c r="K87" s="127"/>
    </row>
    <row r="88" spans="1:11" s="58" customFormat="1" ht="12.75">
      <c r="A88" s="174" t="s">
        <v>188</v>
      </c>
      <c r="B88" s="128"/>
      <c r="C88" s="129" t="s">
        <v>322</v>
      </c>
      <c r="D88" s="130">
        <f>D89+D90+D93</f>
        <v>890039</v>
      </c>
      <c r="E88" s="130">
        <f aca="true" t="shared" si="19" ref="E88:K88">E89+E90+E93</f>
        <v>840039</v>
      </c>
      <c r="F88" s="130">
        <f t="shared" si="19"/>
        <v>0</v>
      </c>
      <c r="G88" s="130">
        <f t="shared" si="19"/>
        <v>0</v>
      </c>
      <c r="H88" s="130">
        <f t="shared" si="19"/>
        <v>755039</v>
      </c>
      <c r="I88" s="130">
        <f t="shared" si="19"/>
        <v>0</v>
      </c>
      <c r="J88" s="130">
        <f t="shared" si="19"/>
        <v>0</v>
      </c>
      <c r="K88" s="130">
        <f t="shared" si="19"/>
        <v>50000</v>
      </c>
    </row>
    <row r="89" spans="1:11" ht="12.75">
      <c r="A89" s="174"/>
      <c r="B89" s="120" t="s">
        <v>323</v>
      </c>
      <c r="C89" s="121" t="s">
        <v>324</v>
      </c>
      <c r="D89" s="122">
        <f t="shared" si="18"/>
        <v>375039</v>
      </c>
      <c r="E89" s="127">
        <v>325039</v>
      </c>
      <c r="F89" s="127"/>
      <c r="G89" s="127"/>
      <c r="H89" s="158">
        <v>325039</v>
      </c>
      <c r="I89" s="127"/>
      <c r="J89" s="127"/>
      <c r="K89" s="127">
        <f>3!G36</f>
        <v>50000</v>
      </c>
    </row>
    <row r="90" spans="1:11" ht="12.75">
      <c r="A90" s="174"/>
      <c r="B90" s="175" t="s">
        <v>325</v>
      </c>
      <c r="C90" s="121" t="s">
        <v>326</v>
      </c>
      <c r="D90" s="122">
        <f t="shared" si="18"/>
        <v>430000</v>
      </c>
      <c r="E90" s="127">
        <f>E91+E92</f>
        <v>430000</v>
      </c>
      <c r="F90" s="127">
        <f aca="true" t="shared" si="20" ref="F90:K90">F91+F92</f>
        <v>0</v>
      </c>
      <c r="G90" s="127">
        <f t="shared" si="20"/>
        <v>0</v>
      </c>
      <c r="H90" s="158">
        <f t="shared" si="20"/>
        <v>430000</v>
      </c>
      <c r="I90" s="127">
        <f t="shared" si="20"/>
        <v>0</v>
      </c>
      <c r="J90" s="127">
        <f t="shared" si="20"/>
        <v>0</v>
      </c>
      <c r="K90" s="127">
        <f t="shared" si="20"/>
        <v>0</v>
      </c>
    </row>
    <row r="91" spans="1:11" ht="12.75">
      <c r="A91" s="174"/>
      <c r="B91" s="175"/>
      <c r="C91" s="121" t="s">
        <v>443</v>
      </c>
      <c r="D91" s="122">
        <f t="shared" si="18"/>
        <v>280000</v>
      </c>
      <c r="E91" s="127">
        <f>285000+20000-25000</f>
        <v>280000</v>
      </c>
      <c r="F91" s="127"/>
      <c r="G91" s="127"/>
      <c r="H91" s="158">
        <f>E91</f>
        <v>280000</v>
      </c>
      <c r="I91" s="127"/>
      <c r="J91" s="127"/>
      <c r="K91" s="127"/>
    </row>
    <row r="92" spans="1:11" ht="12.75">
      <c r="A92" s="174"/>
      <c r="B92" s="175"/>
      <c r="C92" s="121" t="s">
        <v>441</v>
      </c>
      <c r="D92" s="122">
        <f t="shared" si="18"/>
        <v>150000</v>
      </c>
      <c r="E92" s="127">
        <f>H92</f>
        <v>150000</v>
      </c>
      <c r="F92" s="127"/>
      <c r="G92" s="127"/>
      <c r="H92" s="158">
        <v>150000</v>
      </c>
      <c r="I92" s="127"/>
      <c r="J92" s="127"/>
      <c r="K92" s="127"/>
    </row>
    <row r="93" spans="1:11" ht="12.75">
      <c r="A93" s="174"/>
      <c r="B93" s="120" t="s">
        <v>327</v>
      </c>
      <c r="C93" s="121" t="s">
        <v>209</v>
      </c>
      <c r="D93" s="122">
        <f t="shared" si="18"/>
        <v>85000</v>
      </c>
      <c r="E93" s="127">
        <v>85000</v>
      </c>
      <c r="F93" s="127"/>
      <c r="G93" s="127"/>
      <c r="H93" s="158"/>
      <c r="I93" s="127"/>
      <c r="J93" s="127"/>
      <c r="K93" s="127"/>
    </row>
    <row r="94" spans="1:11" ht="18.75" customHeight="1">
      <c r="A94" s="171" t="s">
        <v>95</v>
      </c>
      <c r="B94" s="171"/>
      <c r="C94" s="171"/>
      <c r="D94" s="131">
        <f aca="true" t="shared" si="21" ref="D94:K94">D88+D82+D75+D71+D62+D58+D49+D44+D42+D35+D37+D29+D26+D22+D20+D17+D11+D47</f>
        <v>44039032</v>
      </c>
      <c r="E94" s="131">
        <f t="shared" si="21"/>
        <v>40694032</v>
      </c>
      <c r="F94" s="131">
        <f t="shared" si="21"/>
        <v>15134811</v>
      </c>
      <c r="G94" s="131">
        <f t="shared" si="21"/>
        <v>3022141</v>
      </c>
      <c r="H94" s="131">
        <f t="shared" si="21"/>
        <v>4103847</v>
      </c>
      <c r="I94" s="131">
        <f t="shared" si="21"/>
        <v>300000</v>
      </c>
      <c r="J94" s="131">
        <f t="shared" si="21"/>
        <v>396154</v>
      </c>
      <c r="K94" s="131">
        <f t="shared" si="21"/>
        <v>3345000</v>
      </c>
    </row>
    <row r="96" spans="4:6" ht="12.75">
      <c r="D96" s="99"/>
      <c r="F96" s="99"/>
    </row>
    <row r="97" spans="4:6" ht="12.75">
      <c r="D97" s="99"/>
      <c r="E97" s="99"/>
      <c r="F97" s="99"/>
    </row>
    <row r="98" spans="5:11" ht="12.75">
      <c r="E98" s="99"/>
      <c r="F98" s="99"/>
      <c r="K98" s="99"/>
    </row>
    <row r="99" ht="12.75">
      <c r="D99" s="99"/>
    </row>
    <row r="101" ht="12.75">
      <c r="K101" s="99"/>
    </row>
    <row r="102" ht="12.75">
      <c r="E102" s="99"/>
    </row>
  </sheetData>
  <sheetProtection/>
  <protectedRanges>
    <protectedRange password="DE7F" sqref="E12:J16" name="Zakres1"/>
  </protectedRanges>
  <mergeCells count="30">
    <mergeCell ref="B90:B92"/>
    <mergeCell ref="A44:A46"/>
    <mergeCell ref="A58:A61"/>
    <mergeCell ref="A82:A87"/>
    <mergeCell ref="A88:A93"/>
    <mergeCell ref="A62:A70"/>
    <mergeCell ref="A71:A74"/>
    <mergeCell ref="A47:A48"/>
    <mergeCell ref="A49:A57"/>
    <mergeCell ref="A75:A81"/>
    <mergeCell ref="A37:A41"/>
    <mergeCell ref="A42:A43"/>
    <mergeCell ref="K8:K9"/>
    <mergeCell ref="A11:A16"/>
    <mergeCell ref="A17:A19"/>
    <mergeCell ref="A20:A21"/>
    <mergeCell ref="A22:A25"/>
    <mergeCell ref="A26:A28"/>
    <mergeCell ref="A29:A34"/>
    <mergeCell ref="A35:A36"/>
    <mergeCell ref="F1:K2"/>
    <mergeCell ref="A94:C94"/>
    <mergeCell ref="A4:K4"/>
    <mergeCell ref="D7:D9"/>
    <mergeCell ref="A7:A9"/>
    <mergeCell ref="C7:C9"/>
    <mergeCell ref="B7:B9"/>
    <mergeCell ref="E7:K7"/>
    <mergeCell ref="F8:J8"/>
    <mergeCell ref="E8:E9"/>
  </mergeCells>
  <printOptions horizontalCentered="1"/>
  <pageMargins left="0.3937007874015748" right="0.3937007874015748" top="0.4330708661417323" bottom="0.4724409448818898" header="0.1968503937007874" footer="0.35433070866141736"/>
  <pageSetup fitToHeight="5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G1">
      <selection activeCell="D18" sqref="D18"/>
    </sheetView>
  </sheetViews>
  <sheetFormatPr defaultColWidth="9.00390625" defaultRowHeight="12.75"/>
  <cols>
    <col min="1" max="1" width="5.625" style="155" customWidth="1"/>
    <col min="2" max="2" width="4.875" style="169" bestFit="1" customWidth="1"/>
    <col min="3" max="3" width="6.25390625" style="169" bestFit="1" customWidth="1"/>
    <col min="4" max="4" width="14.375" style="155" bestFit="1" customWidth="1"/>
    <col min="5" max="5" width="10.625" style="155" customWidth="1"/>
    <col min="6" max="7" width="11.25390625" style="155" customWidth="1"/>
    <col min="8" max="8" width="10.375" style="155" customWidth="1"/>
    <col min="9" max="9" width="9.00390625" style="155" customWidth="1"/>
    <col min="10" max="10" width="11.00390625" style="155" customWidth="1"/>
    <col min="11" max="11" width="12.875" style="155" customWidth="1"/>
    <col min="12" max="12" width="10.625" style="155" customWidth="1"/>
    <col min="13" max="13" width="10.75390625" style="155" customWidth="1"/>
    <col min="14" max="14" width="10.25390625" style="155" customWidth="1"/>
    <col min="15" max="15" width="16.75390625" style="155" customWidth="1"/>
    <col min="16" max="16384" width="9.125" style="155" customWidth="1"/>
  </cols>
  <sheetData>
    <row r="1" spans="2:15" s="162" customFormat="1" ht="12.75" customHeight="1">
      <c r="B1" s="167"/>
      <c r="C1" s="167"/>
      <c r="K1" s="192" t="s">
        <v>486</v>
      </c>
      <c r="L1" s="192"/>
      <c r="M1" s="192"/>
      <c r="N1" s="192"/>
      <c r="O1" s="192"/>
    </row>
    <row r="2" spans="2:15" s="162" customFormat="1" ht="12.75">
      <c r="B2" s="167"/>
      <c r="C2" s="167"/>
      <c r="K2" s="192"/>
      <c r="L2" s="192"/>
      <c r="M2" s="192"/>
      <c r="N2" s="192"/>
      <c r="O2" s="192"/>
    </row>
    <row r="3" spans="2:15" s="162" customFormat="1" ht="12.75">
      <c r="B3" s="167"/>
      <c r="C3" s="167"/>
      <c r="L3" s="156"/>
      <c r="M3" s="165"/>
      <c r="N3" s="156"/>
      <c r="O3" s="156"/>
    </row>
    <row r="4" spans="1:15" s="14" customFormat="1" ht="18">
      <c r="A4" s="195" t="s">
        <v>485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4" customFormat="1" ht="10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 t="s">
        <v>46</v>
      </c>
    </row>
    <row r="6" spans="1:15" s="38" customFormat="1" ht="19.5" customHeight="1">
      <c r="A6" s="196" t="s">
        <v>71</v>
      </c>
      <c r="B6" s="196" t="s">
        <v>2</v>
      </c>
      <c r="C6" s="196" t="s">
        <v>45</v>
      </c>
      <c r="D6" s="197" t="s">
        <v>130</v>
      </c>
      <c r="E6" s="197" t="s">
        <v>73</v>
      </c>
      <c r="F6" s="197" t="s">
        <v>141</v>
      </c>
      <c r="G6" s="197" t="s">
        <v>91</v>
      </c>
      <c r="H6" s="197"/>
      <c r="I6" s="197"/>
      <c r="J6" s="197"/>
      <c r="K6" s="197"/>
      <c r="L6" s="197"/>
      <c r="M6" s="197"/>
      <c r="N6" s="197"/>
      <c r="O6" s="197" t="s">
        <v>80</v>
      </c>
    </row>
    <row r="7" spans="1:15" s="38" customFormat="1" ht="19.5" customHeight="1">
      <c r="A7" s="196"/>
      <c r="B7" s="196"/>
      <c r="C7" s="196"/>
      <c r="D7" s="197"/>
      <c r="E7" s="197"/>
      <c r="F7" s="197"/>
      <c r="G7" s="197" t="s">
        <v>81</v>
      </c>
      <c r="H7" s="197" t="s">
        <v>19</v>
      </c>
      <c r="I7" s="197"/>
      <c r="J7" s="197"/>
      <c r="K7" s="197"/>
      <c r="L7" s="197" t="s">
        <v>65</v>
      </c>
      <c r="M7" s="197" t="s">
        <v>68</v>
      </c>
      <c r="N7" s="197" t="s">
        <v>142</v>
      </c>
      <c r="O7" s="197"/>
    </row>
    <row r="8" spans="1:15" s="38" customFormat="1" ht="29.25" customHeight="1">
      <c r="A8" s="196"/>
      <c r="B8" s="196"/>
      <c r="C8" s="196"/>
      <c r="D8" s="197"/>
      <c r="E8" s="197"/>
      <c r="F8" s="197"/>
      <c r="G8" s="197"/>
      <c r="H8" s="197" t="s">
        <v>143</v>
      </c>
      <c r="I8" s="197" t="s">
        <v>128</v>
      </c>
      <c r="J8" s="197" t="s">
        <v>144</v>
      </c>
      <c r="K8" s="197" t="s">
        <v>129</v>
      </c>
      <c r="L8" s="197"/>
      <c r="M8" s="197"/>
      <c r="N8" s="197"/>
      <c r="O8" s="197"/>
    </row>
    <row r="9" spans="1:15" s="38" customFormat="1" ht="19.5" customHeight="1">
      <c r="A9" s="196"/>
      <c r="B9" s="196"/>
      <c r="C9" s="196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s="38" customFormat="1" ht="19.5" customHeight="1">
      <c r="A10" s="196"/>
      <c r="B10" s="196"/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14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/>
      <c r="O11" s="109">
        <v>13</v>
      </c>
    </row>
    <row r="12" spans="1:15" ht="51" customHeight="1">
      <c r="A12" s="74" t="s">
        <v>12</v>
      </c>
      <c r="B12" s="168" t="s">
        <v>184</v>
      </c>
      <c r="C12" s="168" t="s">
        <v>185</v>
      </c>
      <c r="D12" s="67" t="s">
        <v>176</v>
      </c>
      <c r="E12" s="75">
        <f>G12+L12+M12+N12+F12</f>
        <v>213000</v>
      </c>
      <c r="F12" s="75">
        <v>0</v>
      </c>
      <c r="G12" s="75">
        <v>23000</v>
      </c>
      <c r="H12" s="75">
        <f>G12</f>
        <v>23000</v>
      </c>
      <c r="I12" s="75">
        <v>0</v>
      </c>
      <c r="J12" s="69" t="s">
        <v>193</v>
      </c>
      <c r="K12" s="75">
        <v>0</v>
      </c>
      <c r="L12" s="75">
        <v>190000</v>
      </c>
      <c r="M12" s="75">
        <v>0</v>
      </c>
      <c r="N12" s="75">
        <v>0</v>
      </c>
      <c r="O12" s="68" t="s">
        <v>189</v>
      </c>
    </row>
    <row r="13" spans="1:15" ht="51">
      <c r="A13" s="74" t="s">
        <v>13</v>
      </c>
      <c r="B13" s="168" t="s">
        <v>184</v>
      </c>
      <c r="C13" s="168" t="s">
        <v>185</v>
      </c>
      <c r="D13" s="67" t="s">
        <v>177</v>
      </c>
      <c r="E13" s="75">
        <f aca="true" t="shared" si="0" ref="E13:E19">G13+L13+M13+N13+F13</f>
        <v>194000</v>
      </c>
      <c r="F13" s="75">
        <v>0</v>
      </c>
      <c r="G13" s="75">
        <v>14000</v>
      </c>
      <c r="H13" s="75">
        <f>G13</f>
        <v>14000</v>
      </c>
      <c r="I13" s="75">
        <v>0</v>
      </c>
      <c r="J13" s="69" t="s">
        <v>193</v>
      </c>
      <c r="K13" s="75">
        <v>0</v>
      </c>
      <c r="L13" s="75">
        <v>180000</v>
      </c>
      <c r="M13" s="75">
        <v>0</v>
      </c>
      <c r="N13" s="75">
        <v>0</v>
      </c>
      <c r="O13" s="68" t="s">
        <v>189</v>
      </c>
    </row>
    <row r="14" spans="1:15" ht="51">
      <c r="A14" s="74" t="s">
        <v>14</v>
      </c>
      <c r="B14" s="168" t="s">
        <v>184</v>
      </c>
      <c r="C14" s="168" t="s">
        <v>185</v>
      </c>
      <c r="D14" s="67" t="s">
        <v>449</v>
      </c>
      <c r="E14" s="75">
        <f t="shared" si="0"/>
        <v>88500</v>
      </c>
      <c r="F14" s="75">
        <v>0</v>
      </c>
      <c r="G14" s="75">
        <v>8500</v>
      </c>
      <c r="H14" s="75">
        <v>8500</v>
      </c>
      <c r="I14" s="75">
        <v>0</v>
      </c>
      <c r="J14" s="69" t="s">
        <v>193</v>
      </c>
      <c r="K14" s="75">
        <v>0</v>
      </c>
      <c r="L14" s="75">
        <v>80000</v>
      </c>
      <c r="M14" s="75">
        <v>0</v>
      </c>
      <c r="N14" s="75">
        <v>0</v>
      </c>
      <c r="O14" s="68" t="s">
        <v>189</v>
      </c>
    </row>
    <row r="15" spans="1:15" ht="51">
      <c r="A15" s="74" t="s">
        <v>1</v>
      </c>
      <c r="B15" s="168" t="s">
        <v>184</v>
      </c>
      <c r="C15" s="168" t="s">
        <v>185</v>
      </c>
      <c r="D15" s="67" t="s">
        <v>448</v>
      </c>
      <c r="E15" s="75">
        <f t="shared" si="0"/>
        <v>192500</v>
      </c>
      <c r="F15" s="75">
        <v>0</v>
      </c>
      <c r="G15" s="75">
        <v>12500</v>
      </c>
      <c r="H15" s="75">
        <v>12500</v>
      </c>
      <c r="I15" s="75">
        <v>0</v>
      </c>
      <c r="J15" s="69" t="s">
        <v>193</v>
      </c>
      <c r="K15" s="75">
        <v>0</v>
      </c>
      <c r="L15" s="75">
        <v>180000</v>
      </c>
      <c r="M15" s="75">
        <v>0</v>
      </c>
      <c r="N15" s="75">
        <v>0</v>
      </c>
      <c r="O15" s="68" t="s">
        <v>189</v>
      </c>
    </row>
    <row r="16" spans="1:15" ht="52.5" customHeight="1">
      <c r="A16" s="74" t="s">
        <v>20</v>
      </c>
      <c r="B16" s="168" t="s">
        <v>184</v>
      </c>
      <c r="C16" s="168" t="s">
        <v>185</v>
      </c>
      <c r="D16" s="67" t="s">
        <v>463</v>
      </c>
      <c r="E16" s="75">
        <f t="shared" si="0"/>
        <v>180000</v>
      </c>
      <c r="F16" s="75">
        <v>0</v>
      </c>
      <c r="G16" s="75">
        <v>30000</v>
      </c>
      <c r="H16" s="75">
        <v>30000</v>
      </c>
      <c r="I16" s="75">
        <v>0</v>
      </c>
      <c r="J16" s="69" t="s">
        <v>193</v>
      </c>
      <c r="K16" s="75">
        <v>0</v>
      </c>
      <c r="L16" s="75">
        <v>30000</v>
      </c>
      <c r="M16" s="75">
        <v>120000</v>
      </c>
      <c r="N16" s="75">
        <v>0</v>
      </c>
      <c r="O16" s="68" t="s">
        <v>189</v>
      </c>
    </row>
    <row r="17" spans="1:15" ht="51">
      <c r="A17" s="74" t="s">
        <v>23</v>
      </c>
      <c r="B17" s="168" t="s">
        <v>184</v>
      </c>
      <c r="C17" s="168" t="s">
        <v>185</v>
      </c>
      <c r="D17" s="67" t="s">
        <v>464</v>
      </c>
      <c r="E17" s="75">
        <f t="shared" si="0"/>
        <v>220000</v>
      </c>
      <c r="F17" s="75">
        <v>0</v>
      </c>
      <c r="G17" s="75">
        <v>30000</v>
      </c>
      <c r="H17" s="75">
        <v>30000</v>
      </c>
      <c r="I17" s="75">
        <v>0</v>
      </c>
      <c r="J17" s="69" t="s">
        <v>193</v>
      </c>
      <c r="K17" s="75">
        <v>0</v>
      </c>
      <c r="L17" s="75">
        <v>30000</v>
      </c>
      <c r="M17" s="75">
        <v>160000</v>
      </c>
      <c r="N17" s="75">
        <v>0</v>
      </c>
      <c r="O17" s="68" t="s">
        <v>189</v>
      </c>
    </row>
    <row r="18" spans="1:15" ht="51">
      <c r="A18" s="74" t="s">
        <v>26</v>
      </c>
      <c r="B18" s="168" t="s">
        <v>184</v>
      </c>
      <c r="C18" s="168" t="s">
        <v>185</v>
      </c>
      <c r="D18" s="67" t="s">
        <v>450</v>
      </c>
      <c r="E18" s="75">
        <f t="shared" si="0"/>
        <v>320000</v>
      </c>
      <c r="F18" s="75">
        <v>0</v>
      </c>
      <c r="G18" s="75">
        <v>50000</v>
      </c>
      <c r="H18" s="75">
        <v>50000</v>
      </c>
      <c r="I18" s="75">
        <v>0</v>
      </c>
      <c r="J18" s="69" t="s">
        <v>193</v>
      </c>
      <c r="K18" s="75">
        <v>0</v>
      </c>
      <c r="L18" s="75">
        <v>50000</v>
      </c>
      <c r="M18" s="75">
        <v>220000</v>
      </c>
      <c r="N18" s="75">
        <v>0</v>
      </c>
      <c r="O18" s="68" t="s">
        <v>189</v>
      </c>
    </row>
    <row r="19" spans="1:15" ht="60.75" customHeight="1">
      <c r="A19" s="74" t="s">
        <v>32</v>
      </c>
      <c r="B19" s="168" t="s">
        <v>184</v>
      </c>
      <c r="C19" s="168" t="s">
        <v>185</v>
      </c>
      <c r="D19" s="67" t="s">
        <v>465</v>
      </c>
      <c r="E19" s="75">
        <f t="shared" si="0"/>
        <v>2111000</v>
      </c>
      <c r="F19" s="75">
        <v>0</v>
      </c>
      <c r="G19" s="75">
        <v>111000</v>
      </c>
      <c r="H19" s="75">
        <v>111000</v>
      </c>
      <c r="I19" s="75">
        <v>0</v>
      </c>
      <c r="J19" s="69" t="s">
        <v>193</v>
      </c>
      <c r="K19" s="75">
        <v>0</v>
      </c>
      <c r="L19" s="75">
        <v>0</v>
      </c>
      <c r="M19" s="75">
        <v>1000000</v>
      </c>
      <c r="N19" s="75">
        <v>1000000</v>
      </c>
      <c r="O19" s="68" t="s">
        <v>189</v>
      </c>
    </row>
    <row r="20" spans="1:15" ht="60.75" customHeight="1">
      <c r="A20" s="74" t="s">
        <v>54</v>
      </c>
      <c r="B20" s="113" t="s">
        <v>184</v>
      </c>
      <c r="C20" s="113" t="s">
        <v>185</v>
      </c>
      <c r="D20" s="149" t="s">
        <v>481</v>
      </c>
      <c r="E20" s="75">
        <v>272000</v>
      </c>
      <c r="F20" s="75">
        <v>0</v>
      </c>
      <c r="G20" s="75">
        <v>222000</v>
      </c>
      <c r="H20" s="75">
        <v>0</v>
      </c>
      <c r="I20" s="75">
        <v>222000</v>
      </c>
      <c r="J20" s="69" t="s">
        <v>193</v>
      </c>
      <c r="K20" s="75">
        <v>0</v>
      </c>
      <c r="L20" s="75">
        <v>50000</v>
      </c>
      <c r="M20" s="75">
        <v>0</v>
      </c>
      <c r="N20" s="75">
        <v>0</v>
      </c>
      <c r="O20" s="68" t="s">
        <v>189</v>
      </c>
    </row>
    <row r="21" spans="1:15" s="70" customFormat="1" ht="18" customHeight="1">
      <c r="A21" s="194" t="s">
        <v>190</v>
      </c>
      <c r="B21" s="194"/>
      <c r="C21" s="194"/>
      <c r="D21" s="194"/>
      <c r="E21" s="76">
        <f>E19+E18+E17+E16+E15+E14+E13+E12+E20</f>
        <v>3791000</v>
      </c>
      <c r="F21" s="76">
        <f aca="true" t="shared" si="1" ref="F21:N21">F19+F18+F17+F16+F15+F14+F13+F12+F20</f>
        <v>0</v>
      </c>
      <c r="G21" s="76">
        <f t="shared" si="1"/>
        <v>501000</v>
      </c>
      <c r="H21" s="76">
        <f t="shared" si="1"/>
        <v>279000</v>
      </c>
      <c r="I21" s="76">
        <f t="shared" si="1"/>
        <v>222000</v>
      </c>
      <c r="J21" s="76" t="s">
        <v>152</v>
      </c>
      <c r="K21" s="76">
        <f t="shared" si="1"/>
        <v>0</v>
      </c>
      <c r="L21" s="76">
        <f t="shared" si="1"/>
        <v>790000</v>
      </c>
      <c r="M21" s="76">
        <f t="shared" si="1"/>
        <v>1500000</v>
      </c>
      <c r="N21" s="76">
        <f t="shared" si="1"/>
        <v>1000000</v>
      </c>
      <c r="O21" s="71" t="s">
        <v>152</v>
      </c>
    </row>
    <row r="22" spans="1:15" ht="70.5" customHeight="1">
      <c r="A22" s="74" t="s">
        <v>173</v>
      </c>
      <c r="B22" s="168" t="s">
        <v>186</v>
      </c>
      <c r="C22" s="74">
        <v>60013</v>
      </c>
      <c r="D22" s="69" t="s">
        <v>178</v>
      </c>
      <c r="E22" s="75">
        <v>378815</v>
      </c>
      <c r="F22" s="75">
        <v>0</v>
      </c>
      <c r="G22" s="75">
        <v>80000</v>
      </c>
      <c r="H22" s="75">
        <f>G22</f>
        <v>80000</v>
      </c>
      <c r="I22" s="75">
        <v>0</v>
      </c>
      <c r="J22" s="69" t="s">
        <v>193</v>
      </c>
      <c r="K22" s="75">
        <v>0</v>
      </c>
      <c r="L22" s="75">
        <f>E22-G22</f>
        <v>298815</v>
      </c>
      <c r="M22" s="75">
        <v>0</v>
      </c>
      <c r="N22" s="75">
        <v>0</v>
      </c>
      <c r="O22" s="68" t="s">
        <v>189</v>
      </c>
    </row>
    <row r="23" spans="1:15" ht="51">
      <c r="A23" s="74" t="s">
        <v>489</v>
      </c>
      <c r="B23" s="168" t="s">
        <v>186</v>
      </c>
      <c r="C23" s="74">
        <v>60016</v>
      </c>
      <c r="D23" s="69" t="s">
        <v>179</v>
      </c>
      <c r="E23" s="75">
        <f>G23+L23+M23+N23+F23</f>
        <v>144255.5</v>
      </c>
      <c r="F23" s="75">
        <v>44255.5</v>
      </c>
      <c r="G23" s="75">
        <v>50000</v>
      </c>
      <c r="H23" s="75">
        <f>G23</f>
        <v>50000</v>
      </c>
      <c r="I23" s="75">
        <v>0</v>
      </c>
      <c r="J23" s="69" t="s">
        <v>193</v>
      </c>
      <c r="K23" s="75">
        <v>0</v>
      </c>
      <c r="L23" s="75">
        <v>50000</v>
      </c>
      <c r="M23" s="75">
        <v>0</v>
      </c>
      <c r="N23" s="75">
        <v>0</v>
      </c>
      <c r="O23" s="68" t="s">
        <v>189</v>
      </c>
    </row>
    <row r="24" spans="1:15" ht="51">
      <c r="A24" s="74" t="s">
        <v>490</v>
      </c>
      <c r="B24" s="168" t="s">
        <v>186</v>
      </c>
      <c r="C24" s="74">
        <v>60016</v>
      </c>
      <c r="D24" s="69" t="s">
        <v>180</v>
      </c>
      <c r="E24" s="75">
        <f aca="true" t="shared" si="2" ref="E24:E33">G24+L24+M24+N24+F24</f>
        <v>385062</v>
      </c>
      <c r="F24" s="75">
        <v>62</v>
      </c>
      <c r="G24" s="75">
        <v>385000</v>
      </c>
      <c r="H24" s="75">
        <f>G24-I24</f>
        <v>385000</v>
      </c>
      <c r="I24" s="75">
        <v>0</v>
      </c>
      <c r="J24" s="69" t="s">
        <v>193</v>
      </c>
      <c r="K24" s="75">
        <v>0</v>
      </c>
      <c r="L24" s="75">
        <v>0</v>
      </c>
      <c r="M24" s="75">
        <v>0</v>
      </c>
      <c r="N24" s="75">
        <v>0</v>
      </c>
      <c r="O24" s="68" t="s">
        <v>189</v>
      </c>
    </row>
    <row r="25" spans="1:15" ht="51">
      <c r="A25" s="74" t="s">
        <v>491</v>
      </c>
      <c r="B25" s="168" t="s">
        <v>186</v>
      </c>
      <c r="C25" s="74">
        <v>60016</v>
      </c>
      <c r="D25" s="69" t="s">
        <v>181</v>
      </c>
      <c r="E25" s="75">
        <f t="shared" si="2"/>
        <v>80000</v>
      </c>
      <c r="F25" s="75">
        <v>20000</v>
      </c>
      <c r="G25" s="75">
        <v>60000</v>
      </c>
      <c r="H25" s="75">
        <f>G25</f>
        <v>60000</v>
      </c>
      <c r="I25" s="75">
        <v>0</v>
      </c>
      <c r="J25" s="69" t="s">
        <v>193</v>
      </c>
      <c r="K25" s="75">
        <v>0</v>
      </c>
      <c r="L25" s="75">
        <v>0</v>
      </c>
      <c r="M25" s="75">
        <v>0</v>
      </c>
      <c r="N25" s="75">
        <v>0</v>
      </c>
      <c r="O25" s="68" t="s">
        <v>189</v>
      </c>
    </row>
    <row r="26" spans="1:15" ht="89.25">
      <c r="A26" s="74" t="s">
        <v>492</v>
      </c>
      <c r="B26" s="168" t="s">
        <v>186</v>
      </c>
      <c r="C26" s="74">
        <v>60016</v>
      </c>
      <c r="D26" s="69" t="s">
        <v>182</v>
      </c>
      <c r="E26" s="75">
        <f t="shared" si="2"/>
        <v>100000</v>
      </c>
      <c r="F26" s="75">
        <v>26000</v>
      </c>
      <c r="G26" s="75">
        <v>74000</v>
      </c>
      <c r="H26" s="75">
        <f>G26</f>
        <v>74000</v>
      </c>
      <c r="I26" s="75">
        <v>0</v>
      </c>
      <c r="J26" s="69" t="s">
        <v>193</v>
      </c>
      <c r="K26" s="75">
        <v>0</v>
      </c>
      <c r="L26" s="75">
        <v>0</v>
      </c>
      <c r="M26" s="75">
        <v>0</v>
      </c>
      <c r="N26" s="75">
        <v>0</v>
      </c>
      <c r="O26" s="68" t="s">
        <v>189</v>
      </c>
    </row>
    <row r="27" spans="1:15" ht="51">
      <c r="A27" s="74" t="s">
        <v>493</v>
      </c>
      <c r="B27" s="168" t="s">
        <v>186</v>
      </c>
      <c r="C27" s="74">
        <v>60016</v>
      </c>
      <c r="D27" s="69" t="s">
        <v>470</v>
      </c>
      <c r="E27" s="75">
        <f t="shared" si="2"/>
        <v>550000</v>
      </c>
      <c r="F27" s="75">
        <v>0</v>
      </c>
      <c r="G27" s="75">
        <v>50000</v>
      </c>
      <c r="H27" s="75">
        <v>50000</v>
      </c>
      <c r="I27" s="75">
        <v>0</v>
      </c>
      <c r="J27" s="69" t="s">
        <v>193</v>
      </c>
      <c r="K27" s="75">
        <v>0</v>
      </c>
      <c r="L27" s="75">
        <v>500000</v>
      </c>
      <c r="M27" s="75">
        <v>0</v>
      </c>
      <c r="N27" s="75">
        <v>0</v>
      </c>
      <c r="O27" s="68" t="s">
        <v>189</v>
      </c>
    </row>
    <row r="28" spans="1:15" ht="51">
      <c r="A28" s="74" t="s">
        <v>494</v>
      </c>
      <c r="B28" s="80">
        <v>600</v>
      </c>
      <c r="C28" s="80">
        <v>60016</v>
      </c>
      <c r="D28" s="67" t="s">
        <v>477</v>
      </c>
      <c r="E28" s="75">
        <f t="shared" si="2"/>
        <v>100218.55</v>
      </c>
      <c r="F28" s="75">
        <v>218.55</v>
      </c>
      <c r="G28" s="166">
        <v>100000</v>
      </c>
      <c r="H28" s="75">
        <v>100000</v>
      </c>
      <c r="I28" s="75">
        <v>0</v>
      </c>
      <c r="J28" s="69" t="s">
        <v>193</v>
      </c>
      <c r="K28" s="75">
        <v>0</v>
      </c>
      <c r="L28" s="75">
        <v>0</v>
      </c>
      <c r="M28" s="75">
        <v>0</v>
      </c>
      <c r="N28" s="75">
        <v>0</v>
      </c>
      <c r="O28" s="68" t="s">
        <v>189</v>
      </c>
    </row>
    <row r="29" spans="1:15" ht="51">
      <c r="A29" s="74" t="s">
        <v>495</v>
      </c>
      <c r="B29" s="80">
        <v>600</v>
      </c>
      <c r="C29" s="80">
        <v>60016</v>
      </c>
      <c r="D29" s="67" t="s">
        <v>468</v>
      </c>
      <c r="E29" s="75">
        <f t="shared" si="2"/>
        <v>384124</v>
      </c>
      <c r="F29" s="75">
        <v>4124</v>
      </c>
      <c r="G29" s="75">
        <v>380000</v>
      </c>
      <c r="H29" s="75">
        <v>380000</v>
      </c>
      <c r="I29" s="75">
        <v>0</v>
      </c>
      <c r="J29" s="69" t="s">
        <v>193</v>
      </c>
      <c r="K29" s="75">
        <v>0</v>
      </c>
      <c r="L29" s="75">
        <v>0</v>
      </c>
      <c r="M29" s="75">
        <v>0</v>
      </c>
      <c r="N29" s="75">
        <v>0</v>
      </c>
      <c r="O29" s="68" t="s">
        <v>189</v>
      </c>
    </row>
    <row r="30" spans="1:15" s="70" customFormat="1" ht="12.75">
      <c r="A30" s="193" t="s">
        <v>191</v>
      </c>
      <c r="B30" s="193"/>
      <c r="C30" s="193"/>
      <c r="D30" s="193"/>
      <c r="E30" s="76">
        <f>E26+E25+E24+E23+E22+E27+E28+E29</f>
        <v>2122475.05</v>
      </c>
      <c r="F30" s="76">
        <f>F26+F25+F24+F23+F22+F27+F28+F29</f>
        <v>94660.05</v>
      </c>
      <c r="G30" s="76">
        <f>G26+G25+G24+G23+G22+G27+G28+G29</f>
        <v>1179000</v>
      </c>
      <c r="H30" s="76">
        <f>H26+H25+H24+H23+H22+H27+H28+H29</f>
        <v>1179000</v>
      </c>
      <c r="I30" s="76">
        <f>I26+I25+I24+I23+I22</f>
        <v>0</v>
      </c>
      <c r="J30" s="77" t="s">
        <v>152</v>
      </c>
      <c r="K30" s="76">
        <f>K26+K25+K24+K23+K22</f>
        <v>0</v>
      </c>
      <c r="L30" s="76">
        <f>L26+L25+L24+L23+L22+L27</f>
        <v>848815</v>
      </c>
      <c r="M30" s="76">
        <f>M26+M25+M24+M23+M22</f>
        <v>0</v>
      </c>
      <c r="N30" s="76">
        <f>N26+N25+N24+N23+N22</f>
        <v>0</v>
      </c>
      <c r="O30" s="71" t="s">
        <v>152</v>
      </c>
    </row>
    <row r="31" spans="1:15" s="70" customFormat="1" ht="51">
      <c r="A31" s="74" t="s">
        <v>496</v>
      </c>
      <c r="B31" s="74">
        <v>700</v>
      </c>
      <c r="C31" s="74">
        <v>70095</v>
      </c>
      <c r="D31" s="67" t="s">
        <v>473</v>
      </c>
      <c r="E31" s="75">
        <f t="shared" si="2"/>
        <v>320000</v>
      </c>
      <c r="F31" s="75">
        <v>0</v>
      </c>
      <c r="G31" s="75">
        <v>70000</v>
      </c>
      <c r="H31" s="75">
        <v>70000</v>
      </c>
      <c r="I31" s="75">
        <v>0</v>
      </c>
      <c r="J31" s="69" t="s">
        <v>193</v>
      </c>
      <c r="K31" s="75">
        <v>0</v>
      </c>
      <c r="L31" s="75">
        <v>250000</v>
      </c>
      <c r="M31" s="75">
        <v>0</v>
      </c>
      <c r="N31" s="75">
        <v>0</v>
      </c>
      <c r="O31" s="68" t="s">
        <v>189</v>
      </c>
    </row>
    <row r="32" spans="1:15" s="70" customFormat="1" ht="12.75">
      <c r="A32" s="201" t="s">
        <v>198</v>
      </c>
      <c r="B32" s="202"/>
      <c r="C32" s="202"/>
      <c r="D32" s="203"/>
      <c r="E32" s="76">
        <f>E31</f>
        <v>320000</v>
      </c>
      <c r="F32" s="76">
        <f aca="true" t="shared" si="3" ref="F32:N32">F31</f>
        <v>0</v>
      </c>
      <c r="G32" s="76">
        <f t="shared" si="3"/>
        <v>70000</v>
      </c>
      <c r="H32" s="76">
        <f t="shared" si="3"/>
        <v>70000</v>
      </c>
      <c r="I32" s="76">
        <f t="shared" si="3"/>
        <v>0</v>
      </c>
      <c r="J32" s="76" t="s">
        <v>152</v>
      </c>
      <c r="K32" s="76">
        <f t="shared" si="3"/>
        <v>0</v>
      </c>
      <c r="L32" s="76">
        <f t="shared" si="3"/>
        <v>250000</v>
      </c>
      <c r="M32" s="76">
        <f t="shared" si="3"/>
        <v>0</v>
      </c>
      <c r="N32" s="76">
        <f t="shared" si="3"/>
        <v>0</v>
      </c>
      <c r="O32" s="76" t="s">
        <v>152</v>
      </c>
    </row>
    <row r="33" spans="1:15" ht="51">
      <c r="A33" s="74" t="s">
        <v>497</v>
      </c>
      <c r="B33" s="168" t="s">
        <v>187</v>
      </c>
      <c r="C33" s="74">
        <v>90015</v>
      </c>
      <c r="D33" s="67" t="s">
        <v>183</v>
      </c>
      <c r="E33" s="75">
        <f t="shared" si="2"/>
        <v>75986</v>
      </c>
      <c r="F33" s="75">
        <v>986</v>
      </c>
      <c r="G33" s="75">
        <v>75000</v>
      </c>
      <c r="H33" s="75">
        <f>G33</f>
        <v>75000</v>
      </c>
      <c r="I33" s="75">
        <v>0</v>
      </c>
      <c r="J33" s="69" t="s">
        <v>193</v>
      </c>
      <c r="K33" s="75">
        <v>0</v>
      </c>
      <c r="L33" s="75">
        <v>0</v>
      </c>
      <c r="M33" s="75">
        <v>0</v>
      </c>
      <c r="N33" s="75">
        <v>0</v>
      </c>
      <c r="O33" s="68" t="s">
        <v>189</v>
      </c>
    </row>
    <row r="34" spans="1:15" s="70" customFormat="1" ht="12.75">
      <c r="A34" s="193" t="s">
        <v>192</v>
      </c>
      <c r="B34" s="193"/>
      <c r="C34" s="193"/>
      <c r="D34" s="193"/>
      <c r="E34" s="76">
        <f>E33</f>
        <v>75986</v>
      </c>
      <c r="F34" s="76">
        <f aca="true" t="shared" si="4" ref="F34:N34">F33</f>
        <v>986</v>
      </c>
      <c r="G34" s="76">
        <f t="shared" si="4"/>
        <v>75000</v>
      </c>
      <c r="H34" s="76">
        <f t="shared" si="4"/>
        <v>75000</v>
      </c>
      <c r="I34" s="76">
        <f t="shared" si="4"/>
        <v>0</v>
      </c>
      <c r="J34" s="77" t="s">
        <v>152</v>
      </c>
      <c r="K34" s="76">
        <f t="shared" si="4"/>
        <v>0</v>
      </c>
      <c r="L34" s="76">
        <f t="shared" si="4"/>
        <v>0</v>
      </c>
      <c r="M34" s="76">
        <f t="shared" si="4"/>
        <v>0</v>
      </c>
      <c r="N34" s="76">
        <f t="shared" si="4"/>
        <v>0</v>
      </c>
      <c r="O34" s="77" t="s">
        <v>152</v>
      </c>
    </row>
    <row r="35" spans="1:15" ht="76.5">
      <c r="A35" s="68" t="s">
        <v>498</v>
      </c>
      <c r="B35" s="149">
        <v>926</v>
      </c>
      <c r="C35" s="149">
        <v>92601</v>
      </c>
      <c r="D35" s="149" t="s">
        <v>487</v>
      </c>
      <c r="E35" s="75">
        <v>1000000</v>
      </c>
      <c r="F35" s="75">
        <v>0</v>
      </c>
      <c r="G35" s="75">
        <v>50000</v>
      </c>
      <c r="H35" s="75">
        <v>0</v>
      </c>
      <c r="I35" s="75">
        <v>50000</v>
      </c>
      <c r="J35" s="69" t="s">
        <v>193</v>
      </c>
      <c r="K35" s="75">
        <v>0</v>
      </c>
      <c r="L35" s="75">
        <v>950000</v>
      </c>
      <c r="M35" s="75">
        <v>0</v>
      </c>
      <c r="N35" s="75">
        <v>0</v>
      </c>
      <c r="O35" s="68" t="s">
        <v>189</v>
      </c>
    </row>
    <row r="36" spans="1:15" s="70" customFormat="1" ht="20.25" customHeight="1">
      <c r="A36" s="198" t="s">
        <v>488</v>
      </c>
      <c r="B36" s="199"/>
      <c r="C36" s="199"/>
      <c r="D36" s="200"/>
      <c r="E36" s="76">
        <f>E35</f>
        <v>1000000</v>
      </c>
      <c r="F36" s="76">
        <f aca="true" t="shared" si="5" ref="F36:N36">F35</f>
        <v>0</v>
      </c>
      <c r="G36" s="76">
        <f t="shared" si="5"/>
        <v>50000</v>
      </c>
      <c r="H36" s="76">
        <f t="shared" si="5"/>
        <v>0</v>
      </c>
      <c r="I36" s="76">
        <f t="shared" si="5"/>
        <v>50000</v>
      </c>
      <c r="J36" s="76" t="s">
        <v>152</v>
      </c>
      <c r="K36" s="76">
        <f t="shared" si="5"/>
        <v>0</v>
      </c>
      <c r="L36" s="76">
        <f t="shared" si="5"/>
        <v>950000</v>
      </c>
      <c r="M36" s="76">
        <f t="shared" si="5"/>
        <v>0</v>
      </c>
      <c r="N36" s="76">
        <f t="shared" si="5"/>
        <v>0</v>
      </c>
      <c r="O36" s="77" t="s">
        <v>152</v>
      </c>
    </row>
    <row r="37" spans="1:15" s="73" customFormat="1" ht="22.5" customHeight="1">
      <c r="A37" s="204" t="s">
        <v>136</v>
      </c>
      <c r="B37" s="204"/>
      <c r="C37" s="204"/>
      <c r="D37" s="204"/>
      <c r="E37" s="78">
        <f>E34+E32+E30+E21+E36</f>
        <v>7309461.05</v>
      </c>
      <c r="F37" s="78">
        <f aca="true" t="shared" si="6" ref="F37:N37">F34+F32+F30+F21+F36</f>
        <v>95646.05</v>
      </c>
      <c r="G37" s="78">
        <f t="shared" si="6"/>
        <v>1875000</v>
      </c>
      <c r="H37" s="78">
        <f t="shared" si="6"/>
        <v>1603000</v>
      </c>
      <c r="I37" s="78">
        <f t="shared" si="6"/>
        <v>272000</v>
      </c>
      <c r="J37" s="78" t="s">
        <v>152</v>
      </c>
      <c r="K37" s="78">
        <f t="shared" si="6"/>
        <v>0</v>
      </c>
      <c r="L37" s="78">
        <f t="shared" si="6"/>
        <v>2838815</v>
      </c>
      <c r="M37" s="78">
        <f t="shared" si="6"/>
        <v>1500000</v>
      </c>
      <c r="N37" s="78">
        <f t="shared" si="6"/>
        <v>1000000</v>
      </c>
      <c r="O37" s="79" t="s">
        <v>152</v>
      </c>
    </row>
    <row r="42" ht="12.75">
      <c r="J42" s="164"/>
    </row>
    <row r="45" ht="12.75">
      <c r="G45" s="164"/>
    </row>
  </sheetData>
  <mergeCells count="25">
    <mergeCell ref="A36:D36"/>
    <mergeCell ref="A32:D32"/>
    <mergeCell ref="A37:D37"/>
    <mergeCell ref="H7:K7"/>
    <mergeCell ref="H8:H10"/>
    <mergeCell ref="I8:I10"/>
    <mergeCell ref="J8:J10"/>
    <mergeCell ref="K8:K10"/>
    <mergeCell ref="F6:F10"/>
    <mergeCell ref="A30:D30"/>
    <mergeCell ref="G7:G10"/>
    <mergeCell ref="M7:M10"/>
    <mergeCell ref="N7:N10"/>
    <mergeCell ref="G6:N6"/>
    <mergeCell ref="L7:L10"/>
    <mergeCell ref="K1:O2"/>
    <mergeCell ref="A34:D34"/>
    <mergeCell ref="A21:D21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3" bottom="0.4330708661417323" header="0.1968503937007874" footer="0.2362204724409449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D1">
      <selection activeCell="A3" sqref="A3:K3"/>
    </sheetView>
  </sheetViews>
  <sheetFormatPr defaultColWidth="9.00390625" defaultRowHeight="12.75"/>
  <cols>
    <col min="1" max="1" width="5.625" style="155" customWidth="1"/>
    <col min="2" max="2" width="6.875" style="155" customWidth="1"/>
    <col min="3" max="3" width="7.75390625" style="155" customWidth="1"/>
    <col min="4" max="4" width="15.625" style="155" customWidth="1"/>
    <col min="5" max="5" width="12.00390625" style="155" customWidth="1"/>
    <col min="6" max="6" width="12.75390625" style="155" customWidth="1"/>
    <col min="7" max="8" width="10.125" style="155" customWidth="1"/>
    <col min="9" max="9" width="13.125" style="155" customWidth="1"/>
    <col min="10" max="10" width="14.375" style="155" customWidth="1"/>
    <col min="11" max="11" width="16.75390625" style="155" customWidth="1"/>
    <col min="12" max="16384" width="9.125" style="155" customWidth="1"/>
  </cols>
  <sheetData>
    <row r="1" spans="7:11" s="162" customFormat="1" ht="12.75" customHeight="1">
      <c r="G1" s="205" t="s">
        <v>499</v>
      </c>
      <c r="H1" s="205"/>
      <c r="I1" s="205"/>
      <c r="J1" s="205"/>
      <c r="K1" s="205"/>
    </row>
    <row r="2" spans="7:11" s="162" customFormat="1" ht="25.5" customHeight="1">
      <c r="G2" s="205"/>
      <c r="H2" s="205"/>
      <c r="I2" s="205"/>
      <c r="J2" s="205"/>
      <c r="K2" s="205"/>
    </row>
    <row r="3" spans="1:11" s="14" customFormat="1" ht="18">
      <c r="A3" s="195" t="s">
        <v>483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s="14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9" t="s">
        <v>46</v>
      </c>
    </row>
    <row r="5" spans="1:11" s="38" customFormat="1" ht="19.5" customHeight="1">
      <c r="A5" s="210" t="s">
        <v>71</v>
      </c>
      <c r="B5" s="210" t="s">
        <v>2</v>
      </c>
      <c r="C5" s="210" t="s">
        <v>45</v>
      </c>
      <c r="D5" s="206" t="s">
        <v>175</v>
      </c>
      <c r="E5" s="206" t="s">
        <v>73</v>
      </c>
      <c r="F5" s="206" t="s">
        <v>91</v>
      </c>
      <c r="G5" s="206"/>
      <c r="H5" s="206"/>
      <c r="I5" s="206"/>
      <c r="J5" s="206"/>
      <c r="K5" s="206" t="s">
        <v>80</v>
      </c>
    </row>
    <row r="6" spans="1:11" s="38" customFormat="1" ht="19.5" customHeight="1">
      <c r="A6" s="210"/>
      <c r="B6" s="210"/>
      <c r="C6" s="210"/>
      <c r="D6" s="206"/>
      <c r="E6" s="206"/>
      <c r="F6" s="206" t="s">
        <v>127</v>
      </c>
      <c r="G6" s="206" t="s">
        <v>19</v>
      </c>
      <c r="H6" s="206"/>
      <c r="I6" s="206"/>
      <c r="J6" s="206"/>
      <c r="K6" s="206"/>
    </row>
    <row r="7" spans="1:11" s="38" customFormat="1" ht="29.25" customHeight="1">
      <c r="A7" s="210"/>
      <c r="B7" s="210"/>
      <c r="C7" s="210"/>
      <c r="D7" s="206"/>
      <c r="E7" s="206"/>
      <c r="F7" s="206"/>
      <c r="G7" s="206" t="s">
        <v>143</v>
      </c>
      <c r="H7" s="206" t="s">
        <v>128</v>
      </c>
      <c r="I7" s="206" t="s">
        <v>145</v>
      </c>
      <c r="J7" s="206" t="s">
        <v>129</v>
      </c>
      <c r="K7" s="206"/>
    </row>
    <row r="8" spans="1:11" s="38" customFormat="1" ht="19.5" customHeight="1">
      <c r="A8" s="210"/>
      <c r="B8" s="210"/>
      <c r="C8" s="210"/>
      <c r="D8" s="206"/>
      <c r="E8" s="206"/>
      <c r="F8" s="206"/>
      <c r="G8" s="206"/>
      <c r="H8" s="206"/>
      <c r="I8" s="206"/>
      <c r="J8" s="206"/>
      <c r="K8" s="206"/>
    </row>
    <row r="9" spans="1:11" s="38" customFormat="1" ht="19.5" customHeight="1">
      <c r="A9" s="210"/>
      <c r="B9" s="210"/>
      <c r="C9" s="210"/>
      <c r="D9" s="206"/>
      <c r="E9" s="206"/>
      <c r="F9" s="206"/>
      <c r="G9" s="206"/>
      <c r="H9" s="206"/>
      <c r="I9" s="206"/>
      <c r="J9" s="206"/>
      <c r="K9" s="206"/>
    </row>
    <row r="10" spans="1:11" s="14" customFormat="1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</row>
    <row r="11" spans="1:11" ht="54" customHeight="1">
      <c r="A11" s="109">
        <v>1</v>
      </c>
      <c r="B11" s="113" t="s">
        <v>184</v>
      </c>
      <c r="C11" s="113" t="s">
        <v>185</v>
      </c>
      <c r="D11" s="149" t="s">
        <v>447</v>
      </c>
      <c r="E11" s="115">
        <v>480000</v>
      </c>
      <c r="F11" s="115">
        <v>480000</v>
      </c>
      <c r="G11" s="115">
        <v>32154</v>
      </c>
      <c r="H11" s="115">
        <f>480000-32154</f>
        <v>447846</v>
      </c>
      <c r="I11" s="69" t="s">
        <v>195</v>
      </c>
      <c r="J11" s="109">
        <v>0</v>
      </c>
      <c r="K11" s="80" t="s">
        <v>196</v>
      </c>
    </row>
    <row r="12" spans="1:11" s="70" customFormat="1" ht="12" customHeight="1">
      <c r="A12" s="194" t="s">
        <v>190</v>
      </c>
      <c r="B12" s="194"/>
      <c r="C12" s="194"/>
      <c r="D12" s="194"/>
      <c r="E12" s="116">
        <f>SUM(E11:E11)</f>
        <v>480000</v>
      </c>
      <c r="F12" s="116">
        <f>SUM(F11:F11)</f>
        <v>480000</v>
      </c>
      <c r="G12" s="116">
        <f>SUM(G11:G11)</f>
        <v>32154</v>
      </c>
      <c r="H12" s="116">
        <f>SUM(H11:H11)</f>
        <v>447846</v>
      </c>
      <c r="I12" s="116" t="s">
        <v>152</v>
      </c>
      <c r="J12" s="116">
        <f>SUM(J11:J11)</f>
        <v>0</v>
      </c>
      <c r="K12" s="114" t="s">
        <v>152</v>
      </c>
    </row>
    <row r="13" spans="1:11" ht="52.5" customHeight="1">
      <c r="A13" s="80">
        <v>2</v>
      </c>
      <c r="B13" s="80">
        <v>600</v>
      </c>
      <c r="C13" s="80">
        <v>60013</v>
      </c>
      <c r="D13" s="67" t="s">
        <v>479</v>
      </c>
      <c r="E13" s="115">
        <v>80000</v>
      </c>
      <c r="F13" s="115">
        <v>80000</v>
      </c>
      <c r="G13" s="115">
        <f>F13</f>
        <v>80000</v>
      </c>
      <c r="H13" s="115">
        <v>0</v>
      </c>
      <c r="I13" s="69" t="s">
        <v>195</v>
      </c>
      <c r="J13" s="115">
        <v>0</v>
      </c>
      <c r="K13" s="80" t="s">
        <v>196</v>
      </c>
    </row>
    <row r="14" spans="1:11" s="163" customFormat="1" ht="56.25" customHeight="1">
      <c r="A14" s="80">
        <v>3</v>
      </c>
      <c r="B14" s="80">
        <v>600</v>
      </c>
      <c r="C14" s="80">
        <v>60016</v>
      </c>
      <c r="D14" s="67" t="s">
        <v>466</v>
      </c>
      <c r="E14" s="150">
        <v>60000</v>
      </c>
      <c r="F14" s="150">
        <v>60000</v>
      </c>
      <c r="G14" s="150">
        <v>0</v>
      </c>
      <c r="H14" s="150">
        <v>60000</v>
      </c>
      <c r="I14" s="69" t="s">
        <v>195</v>
      </c>
      <c r="J14" s="151">
        <v>0</v>
      </c>
      <c r="K14" s="80" t="s">
        <v>196</v>
      </c>
    </row>
    <row r="15" spans="1:11" s="163" customFormat="1" ht="54" customHeight="1">
      <c r="A15" s="80">
        <v>4</v>
      </c>
      <c r="B15" s="80">
        <v>600</v>
      </c>
      <c r="C15" s="80">
        <v>60016</v>
      </c>
      <c r="D15" s="67" t="s">
        <v>467</v>
      </c>
      <c r="E15" s="150">
        <v>190000</v>
      </c>
      <c r="F15" s="150">
        <v>190000</v>
      </c>
      <c r="G15" s="150">
        <v>0</v>
      </c>
      <c r="H15" s="150">
        <v>190000</v>
      </c>
      <c r="I15" s="69" t="s">
        <v>195</v>
      </c>
      <c r="J15" s="151">
        <v>0</v>
      </c>
      <c r="K15" s="80" t="s">
        <v>196</v>
      </c>
    </row>
    <row r="16" spans="1:11" s="163" customFormat="1" ht="72" customHeight="1">
      <c r="A16" s="80">
        <v>5</v>
      </c>
      <c r="B16" s="80">
        <v>600</v>
      </c>
      <c r="C16" s="80">
        <v>60016</v>
      </c>
      <c r="D16" s="67" t="s">
        <v>469</v>
      </c>
      <c r="E16" s="150">
        <v>180000</v>
      </c>
      <c r="F16" s="150">
        <v>180000</v>
      </c>
      <c r="G16" s="150">
        <v>0</v>
      </c>
      <c r="H16" s="150">
        <v>0</v>
      </c>
      <c r="I16" s="69" t="s">
        <v>195</v>
      </c>
      <c r="J16" s="151">
        <v>0</v>
      </c>
      <c r="K16" s="80" t="s">
        <v>196</v>
      </c>
    </row>
    <row r="17" spans="1:11" s="153" customFormat="1" ht="15.75" customHeight="1">
      <c r="A17" s="207" t="s">
        <v>191</v>
      </c>
      <c r="B17" s="208"/>
      <c r="C17" s="208"/>
      <c r="D17" s="209"/>
      <c r="E17" s="152">
        <f>E16+E15+E14+E13</f>
        <v>510000</v>
      </c>
      <c r="F17" s="152">
        <f>F16+F15+F14+F13</f>
        <v>510000</v>
      </c>
      <c r="G17" s="152">
        <f>G16+G15+G14+G13</f>
        <v>80000</v>
      </c>
      <c r="H17" s="152">
        <f>H16+H15+H14+H13</f>
        <v>250000</v>
      </c>
      <c r="I17" s="152" t="s">
        <v>152</v>
      </c>
      <c r="J17" s="152">
        <f>J16+J15+J14+J13</f>
        <v>0</v>
      </c>
      <c r="K17" s="152" t="s">
        <v>152</v>
      </c>
    </row>
    <row r="18" spans="1:11" ht="51" customHeight="1">
      <c r="A18" s="74">
        <v>6</v>
      </c>
      <c r="B18" s="74">
        <v>700</v>
      </c>
      <c r="C18" s="74">
        <v>70005</v>
      </c>
      <c r="D18" s="67" t="s">
        <v>194</v>
      </c>
      <c r="E18" s="75">
        <v>100000</v>
      </c>
      <c r="F18" s="75">
        <v>100000</v>
      </c>
      <c r="G18" s="75">
        <v>100000</v>
      </c>
      <c r="H18" s="75">
        <v>0</v>
      </c>
      <c r="I18" s="69" t="s">
        <v>195</v>
      </c>
      <c r="J18" s="74">
        <v>0</v>
      </c>
      <c r="K18" s="80" t="s">
        <v>196</v>
      </c>
    </row>
    <row r="19" spans="1:11" s="70" customFormat="1" ht="18.75" customHeight="1">
      <c r="A19" s="194" t="s">
        <v>198</v>
      </c>
      <c r="B19" s="194"/>
      <c r="C19" s="194"/>
      <c r="D19" s="194"/>
      <c r="E19" s="76">
        <f>E18</f>
        <v>100000</v>
      </c>
      <c r="F19" s="76">
        <f>F18</f>
        <v>100000</v>
      </c>
      <c r="G19" s="76">
        <f>G18</f>
        <v>100000</v>
      </c>
      <c r="H19" s="76">
        <f>H18</f>
        <v>0</v>
      </c>
      <c r="I19" s="77">
        <v>0</v>
      </c>
      <c r="J19" s="77">
        <f>J18</f>
        <v>0</v>
      </c>
      <c r="K19" s="72" t="s">
        <v>152</v>
      </c>
    </row>
    <row r="20" spans="1:11" ht="51">
      <c r="A20" s="74">
        <v>7</v>
      </c>
      <c r="B20" s="74">
        <v>750</v>
      </c>
      <c r="C20" s="74">
        <v>75023</v>
      </c>
      <c r="D20" s="67" t="s">
        <v>476</v>
      </c>
      <c r="E20" s="75">
        <v>50000</v>
      </c>
      <c r="F20" s="75">
        <v>50000</v>
      </c>
      <c r="G20" s="75">
        <v>50000</v>
      </c>
      <c r="H20" s="75">
        <v>0</v>
      </c>
      <c r="I20" s="69" t="s">
        <v>195</v>
      </c>
      <c r="J20" s="74">
        <v>0</v>
      </c>
      <c r="K20" s="80" t="s">
        <v>196</v>
      </c>
    </row>
    <row r="21" spans="1:11" ht="51">
      <c r="A21" s="74">
        <v>8</v>
      </c>
      <c r="B21" s="74">
        <v>750</v>
      </c>
      <c r="C21" s="74">
        <v>75023</v>
      </c>
      <c r="D21" s="67" t="s">
        <v>199</v>
      </c>
      <c r="E21" s="75">
        <v>50000</v>
      </c>
      <c r="F21" s="75">
        <v>50000</v>
      </c>
      <c r="G21" s="75">
        <v>50000</v>
      </c>
      <c r="H21" s="75">
        <v>0</v>
      </c>
      <c r="I21" s="69" t="s">
        <v>195</v>
      </c>
      <c r="J21" s="74">
        <v>0</v>
      </c>
      <c r="K21" s="80" t="s">
        <v>196</v>
      </c>
    </row>
    <row r="22" spans="1:11" s="70" customFormat="1" ht="21" customHeight="1">
      <c r="A22" s="194" t="s">
        <v>197</v>
      </c>
      <c r="B22" s="194"/>
      <c r="C22" s="194"/>
      <c r="D22" s="194"/>
      <c r="E22" s="76">
        <f>E20+E21</f>
        <v>100000</v>
      </c>
      <c r="F22" s="76">
        <f>F20+F21</f>
        <v>100000</v>
      </c>
      <c r="G22" s="76">
        <f>G20+G21</f>
        <v>100000</v>
      </c>
      <c r="H22" s="76">
        <f>H20+H21</f>
        <v>0</v>
      </c>
      <c r="I22" s="77" t="s">
        <v>152</v>
      </c>
      <c r="J22" s="77">
        <f>J21+J20</f>
        <v>0</v>
      </c>
      <c r="K22" s="72" t="s">
        <v>152</v>
      </c>
    </row>
    <row r="23" spans="1:11" ht="90.75" customHeight="1">
      <c r="A23" s="80">
        <v>9</v>
      </c>
      <c r="B23" s="149">
        <v>801</v>
      </c>
      <c r="C23" s="149">
        <v>80101</v>
      </c>
      <c r="D23" s="149" t="s">
        <v>474</v>
      </c>
      <c r="E23" s="75">
        <v>50000</v>
      </c>
      <c r="F23" s="75">
        <v>50000</v>
      </c>
      <c r="G23" s="75">
        <v>50000</v>
      </c>
      <c r="H23" s="75">
        <v>0</v>
      </c>
      <c r="I23" s="69" t="s">
        <v>195</v>
      </c>
      <c r="J23" s="74">
        <v>0</v>
      </c>
      <c r="K23" s="80" t="s">
        <v>196</v>
      </c>
    </row>
    <row r="24" spans="1:11" ht="56.25" customHeight="1">
      <c r="A24" s="80">
        <v>10</v>
      </c>
      <c r="B24" s="149">
        <v>801</v>
      </c>
      <c r="C24" s="149">
        <v>80110</v>
      </c>
      <c r="D24" s="149" t="s">
        <v>475</v>
      </c>
      <c r="E24" s="75">
        <v>30000</v>
      </c>
      <c r="F24" s="75">
        <v>30000</v>
      </c>
      <c r="G24" s="75">
        <v>30000</v>
      </c>
      <c r="H24" s="75">
        <v>0</v>
      </c>
      <c r="I24" s="69" t="s">
        <v>195</v>
      </c>
      <c r="J24" s="74">
        <v>0</v>
      </c>
      <c r="K24" s="80" t="s">
        <v>196</v>
      </c>
    </row>
    <row r="25" spans="1:11" s="70" customFormat="1" ht="21" customHeight="1">
      <c r="A25" s="207" t="s">
        <v>462</v>
      </c>
      <c r="B25" s="208"/>
      <c r="C25" s="208"/>
      <c r="D25" s="209"/>
      <c r="E25" s="76">
        <f aca="true" t="shared" si="0" ref="E25:J25">E24+E23</f>
        <v>80000</v>
      </c>
      <c r="F25" s="76">
        <f t="shared" si="0"/>
        <v>80000</v>
      </c>
      <c r="G25" s="76">
        <f t="shared" si="0"/>
        <v>80000</v>
      </c>
      <c r="H25" s="76">
        <f t="shared" si="0"/>
        <v>0</v>
      </c>
      <c r="I25" s="76" t="s">
        <v>152</v>
      </c>
      <c r="J25" s="76">
        <f t="shared" si="0"/>
        <v>0</v>
      </c>
      <c r="K25" s="72" t="s">
        <v>152</v>
      </c>
    </row>
    <row r="26" spans="1:11" ht="54.75" customHeight="1">
      <c r="A26" s="80">
        <v>11</v>
      </c>
      <c r="B26" s="67">
        <v>900</v>
      </c>
      <c r="C26" s="67">
        <v>90095</v>
      </c>
      <c r="D26" s="67" t="s">
        <v>472</v>
      </c>
      <c r="E26" s="75">
        <v>100000</v>
      </c>
      <c r="F26" s="75">
        <v>100000</v>
      </c>
      <c r="G26" s="75">
        <v>100000</v>
      </c>
      <c r="H26" s="75">
        <v>0</v>
      </c>
      <c r="I26" s="69" t="s">
        <v>195</v>
      </c>
      <c r="J26" s="74">
        <v>0</v>
      </c>
      <c r="K26" s="80" t="s">
        <v>196</v>
      </c>
    </row>
    <row r="27" spans="1:11" s="70" customFormat="1" ht="17.25" customHeight="1">
      <c r="A27" s="207" t="s">
        <v>192</v>
      </c>
      <c r="B27" s="208"/>
      <c r="C27" s="208"/>
      <c r="D27" s="209"/>
      <c r="E27" s="76">
        <f aca="true" t="shared" si="1" ref="E27:J27">E26</f>
        <v>100000</v>
      </c>
      <c r="F27" s="76">
        <f t="shared" si="1"/>
        <v>100000</v>
      </c>
      <c r="G27" s="76">
        <f t="shared" si="1"/>
        <v>100000</v>
      </c>
      <c r="H27" s="76">
        <f t="shared" si="1"/>
        <v>0</v>
      </c>
      <c r="I27" s="76" t="s">
        <v>152</v>
      </c>
      <c r="J27" s="76">
        <f t="shared" si="1"/>
        <v>0</v>
      </c>
      <c r="K27" s="72" t="s">
        <v>152</v>
      </c>
    </row>
    <row r="28" spans="1:11" ht="72" customHeight="1">
      <c r="A28" s="68">
        <v>12</v>
      </c>
      <c r="B28" s="149">
        <v>921</v>
      </c>
      <c r="C28" s="149">
        <v>92120</v>
      </c>
      <c r="D28" s="149" t="s">
        <v>471</v>
      </c>
      <c r="E28" s="75">
        <f>F28</f>
        <v>100000</v>
      </c>
      <c r="F28" s="75">
        <v>100000</v>
      </c>
      <c r="G28" s="161">
        <v>100000</v>
      </c>
      <c r="H28" s="75">
        <v>0</v>
      </c>
      <c r="I28" s="69" t="s">
        <v>195</v>
      </c>
      <c r="J28" s="74">
        <v>0</v>
      </c>
      <c r="K28" s="80" t="s">
        <v>196</v>
      </c>
    </row>
    <row r="29" spans="1:11" s="70" customFormat="1" ht="16.5" customHeight="1">
      <c r="A29" s="201" t="s">
        <v>484</v>
      </c>
      <c r="B29" s="202"/>
      <c r="C29" s="202"/>
      <c r="D29" s="203"/>
      <c r="E29" s="76">
        <f>E28</f>
        <v>100000</v>
      </c>
      <c r="F29" s="76">
        <f>F28</f>
        <v>100000</v>
      </c>
      <c r="G29" s="76">
        <f>F28</f>
        <v>100000</v>
      </c>
      <c r="H29" s="76">
        <f>H28</f>
        <v>0</v>
      </c>
      <c r="I29" s="76" t="s">
        <v>152</v>
      </c>
      <c r="J29" s="76">
        <f>J28</f>
        <v>0</v>
      </c>
      <c r="K29" s="76" t="s">
        <v>152</v>
      </c>
    </row>
    <row r="30" spans="1:11" ht="22.5" customHeight="1">
      <c r="A30" s="204" t="s">
        <v>136</v>
      </c>
      <c r="B30" s="204"/>
      <c r="C30" s="204"/>
      <c r="D30" s="204"/>
      <c r="E30" s="78">
        <f>E29+E27+E25+E22+E19+E17+E12</f>
        <v>1470000</v>
      </c>
      <c r="F30" s="78">
        <f>F29+F27+F25+F22+F19+F17+F12</f>
        <v>1470000</v>
      </c>
      <c r="G30" s="78">
        <f>G29+G27+G25+G22+G19+G17+G12</f>
        <v>592154</v>
      </c>
      <c r="H30" s="78">
        <f>H29+H27+H25+H22+H19+H17+H12</f>
        <v>697846</v>
      </c>
      <c r="I30" s="78" t="s">
        <v>152</v>
      </c>
      <c r="J30" s="78">
        <f>J29+J27+J25+J22+J19+J17+J12</f>
        <v>0</v>
      </c>
      <c r="K30" s="79" t="s">
        <v>152</v>
      </c>
    </row>
    <row r="33" ht="12.75">
      <c r="H33" s="164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0:D30"/>
    <mergeCell ref="A29:D29"/>
    <mergeCell ref="A27:D27"/>
    <mergeCell ref="A25:D25"/>
    <mergeCell ref="G1:K2"/>
    <mergeCell ref="A19:D19"/>
    <mergeCell ref="A22:D22"/>
    <mergeCell ref="E5:E9"/>
    <mergeCell ref="G7:G9"/>
    <mergeCell ref="A12:D12"/>
    <mergeCell ref="F6:F9"/>
    <mergeCell ref="A17:D17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workbookViewId="0" topLeftCell="A1">
      <selection activeCell="C1" sqref="C1:F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70" t="s">
        <v>501</v>
      </c>
      <c r="D1" s="170"/>
      <c r="E1" s="170"/>
      <c r="F1" s="170"/>
    </row>
    <row r="2" spans="3:6" ht="31.5" customHeight="1">
      <c r="C2" s="170"/>
      <c r="D2" s="170"/>
      <c r="E2" s="170"/>
      <c r="F2" s="170"/>
    </row>
    <row r="3" ht="6" customHeight="1"/>
    <row r="4" spans="1:4" ht="15" customHeight="1">
      <c r="A4" s="213" t="s">
        <v>83</v>
      </c>
      <c r="B4" s="213"/>
      <c r="C4" s="213"/>
      <c r="D4" s="213"/>
    </row>
    <row r="5" ht="6.75" customHeight="1">
      <c r="A5" s="17"/>
    </row>
    <row r="6" ht="2.25" customHeight="1">
      <c r="D6" s="10" t="s">
        <v>46</v>
      </c>
    </row>
    <row r="7" spans="1:4" ht="15" customHeight="1">
      <c r="A7" s="210" t="s">
        <v>71</v>
      </c>
      <c r="B7" s="210" t="s">
        <v>5</v>
      </c>
      <c r="C7" s="206" t="s">
        <v>74</v>
      </c>
      <c r="D7" s="206" t="s">
        <v>75</v>
      </c>
    </row>
    <row r="8" spans="1:4" ht="15" customHeight="1">
      <c r="A8" s="210"/>
      <c r="B8" s="210"/>
      <c r="C8" s="210"/>
      <c r="D8" s="206"/>
    </row>
    <row r="9" spans="1:4" ht="15.75" customHeight="1">
      <c r="A9" s="210"/>
      <c r="B9" s="210"/>
      <c r="C9" s="210"/>
      <c r="D9" s="206"/>
    </row>
    <row r="10" spans="1:4" s="60" customFormat="1" ht="11.25" customHeight="1">
      <c r="A10" s="109">
        <v>1</v>
      </c>
      <c r="B10" s="109">
        <v>2</v>
      </c>
      <c r="C10" s="109">
        <v>3</v>
      </c>
      <c r="D10" s="109">
        <v>4</v>
      </c>
    </row>
    <row r="11" spans="1:4" ht="18.75" customHeight="1">
      <c r="A11" s="212" t="s">
        <v>27</v>
      </c>
      <c r="B11" s="212"/>
      <c r="C11" s="23"/>
      <c r="D11" s="84">
        <f>D12+D13+D14+D15+D16+D17+D18+D19+D20+D21+D22+D23+D24+D25</f>
        <v>2369906</v>
      </c>
    </row>
    <row r="12" spans="1:4" ht="18.75" customHeight="1">
      <c r="A12" s="25" t="s">
        <v>12</v>
      </c>
      <c r="B12" s="26" t="s">
        <v>21</v>
      </c>
      <c r="C12" s="25" t="s">
        <v>28</v>
      </c>
      <c r="D12" s="137">
        <v>969846</v>
      </c>
    </row>
    <row r="13" spans="1:4" ht="18.75" customHeight="1">
      <c r="A13" s="27" t="s">
        <v>13</v>
      </c>
      <c r="B13" s="28" t="s">
        <v>22</v>
      </c>
      <c r="C13" s="27" t="s">
        <v>28</v>
      </c>
      <c r="D13" s="138"/>
    </row>
    <row r="14" spans="1:4" ht="51">
      <c r="A14" s="27" t="s">
        <v>14</v>
      </c>
      <c r="B14" s="29" t="s">
        <v>131</v>
      </c>
      <c r="C14" s="27" t="s">
        <v>56</v>
      </c>
      <c r="D14" s="138"/>
    </row>
    <row r="15" spans="1:4" ht="18.75" customHeight="1">
      <c r="A15" s="27" t="s">
        <v>1</v>
      </c>
      <c r="B15" s="28" t="s">
        <v>30</v>
      </c>
      <c r="C15" s="27" t="s">
        <v>57</v>
      </c>
      <c r="D15" s="138"/>
    </row>
    <row r="16" spans="1:4" ht="18.75" customHeight="1">
      <c r="A16" s="27" t="s">
        <v>20</v>
      </c>
      <c r="B16" s="28" t="s">
        <v>132</v>
      </c>
      <c r="C16" s="27" t="s">
        <v>166</v>
      </c>
      <c r="D16" s="138"/>
    </row>
    <row r="17" spans="1:4" ht="18.75" customHeight="1">
      <c r="A17" s="27" t="s">
        <v>158</v>
      </c>
      <c r="B17" s="28" t="s">
        <v>162</v>
      </c>
      <c r="C17" s="27" t="s">
        <v>153</v>
      </c>
      <c r="D17" s="138"/>
    </row>
    <row r="18" spans="1:4" ht="18.75" customHeight="1">
      <c r="A18" s="27" t="s">
        <v>159</v>
      </c>
      <c r="B18" s="28" t="s">
        <v>163</v>
      </c>
      <c r="C18" s="27" t="s">
        <v>154</v>
      </c>
      <c r="D18" s="138"/>
    </row>
    <row r="19" spans="1:4" ht="44.25" customHeight="1">
      <c r="A19" s="27" t="s">
        <v>160</v>
      </c>
      <c r="B19" s="29" t="s">
        <v>164</v>
      </c>
      <c r="C19" s="27" t="s">
        <v>155</v>
      </c>
      <c r="D19" s="138"/>
    </row>
    <row r="20" spans="1:4" ht="18.75" customHeight="1">
      <c r="A20" s="27" t="s">
        <v>161</v>
      </c>
      <c r="B20" s="28" t="s">
        <v>165</v>
      </c>
      <c r="C20" s="27" t="s">
        <v>156</v>
      </c>
      <c r="D20" s="138"/>
    </row>
    <row r="21" spans="1:4" ht="18.75" customHeight="1">
      <c r="A21" s="27" t="s">
        <v>23</v>
      </c>
      <c r="B21" s="28" t="s">
        <v>24</v>
      </c>
      <c r="C21" s="27" t="s">
        <v>29</v>
      </c>
      <c r="D21" s="138"/>
    </row>
    <row r="22" spans="1:4" ht="18.75" customHeight="1">
      <c r="A22" s="27" t="s">
        <v>26</v>
      </c>
      <c r="B22" s="28" t="s">
        <v>88</v>
      </c>
      <c r="C22" s="27" t="s">
        <v>33</v>
      </c>
      <c r="D22" s="138"/>
    </row>
    <row r="23" spans="1:4" ht="18.75" customHeight="1">
      <c r="A23" s="27" t="s">
        <v>32</v>
      </c>
      <c r="B23" s="28" t="s">
        <v>55</v>
      </c>
      <c r="C23" s="27" t="s">
        <v>79</v>
      </c>
      <c r="D23" s="138"/>
    </row>
    <row r="24" spans="1:4" ht="18.75" customHeight="1">
      <c r="A24" s="27" t="s">
        <v>54</v>
      </c>
      <c r="B24" s="28" t="s">
        <v>174</v>
      </c>
      <c r="C24" s="27" t="s">
        <v>31</v>
      </c>
      <c r="D24" s="138">
        <v>1400060</v>
      </c>
    </row>
    <row r="25" spans="1:4" ht="18.75" customHeight="1">
      <c r="A25" s="30" t="s">
        <v>173</v>
      </c>
      <c r="B25" s="31" t="s">
        <v>157</v>
      </c>
      <c r="C25" s="30" t="s">
        <v>37</v>
      </c>
      <c r="D25" s="139"/>
    </row>
    <row r="26" spans="1:4" ht="18.75" customHeight="1">
      <c r="A26" s="212" t="s">
        <v>133</v>
      </c>
      <c r="B26" s="212"/>
      <c r="C26" s="23"/>
      <c r="D26" s="84">
        <f>D27+D28+D29+D30+D31+D32+D33+D34</f>
        <v>1400060</v>
      </c>
    </row>
    <row r="27" spans="1:4" ht="18.75" customHeight="1">
      <c r="A27" s="25" t="s">
        <v>12</v>
      </c>
      <c r="B27" s="26" t="s">
        <v>58</v>
      </c>
      <c r="C27" s="25" t="s">
        <v>35</v>
      </c>
      <c r="D27" s="137">
        <v>1272000</v>
      </c>
    </row>
    <row r="28" spans="1:4" ht="18.75" customHeight="1">
      <c r="A28" s="27" t="s">
        <v>13</v>
      </c>
      <c r="B28" s="28" t="s">
        <v>34</v>
      </c>
      <c r="C28" s="27" t="s">
        <v>35</v>
      </c>
      <c r="D28" s="138">
        <v>128060</v>
      </c>
    </row>
    <row r="29" spans="1:4" ht="38.25">
      <c r="A29" s="27" t="s">
        <v>14</v>
      </c>
      <c r="B29" s="29" t="s">
        <v>62</v>
      </c>
      <c r="C29" s="27" t="s">
        <v>63</v>
      </c>
      <c r="D29" s="138"/>
    </row>
    <row r="30" spans="1:6" ht="18.75" customHeight="1">
      <c r="A30" s="27" t="s">
        <v>1</v>
      </c>
      <c r="B30" s="28" t="s">
        <v>59</v>
      </c>
      <c r="C30" s="27" t="s">
        <v>52</v>
      </c>
      <c r="D30" s="138"/>
      <c r="F30" s="99"/>
    </row>
    <row r="31" spans="1:4" ht="18.75" customHeight="1">
      <c r="A31" s="27" t="s">
        <v>20</v>
      </c>
      <c r="B31" s="28" t="s">
        <v>60</v>
      </c>
      <c r="C31" s="27" t="s">
        <v>37</v>
      </c>
      <c r="D31" s="138"/>
    </row>
    <row r="32" spans="1:4" ht="18.75" customHeight="1">
      <c r="A32" s="27" t="s">
        <v>23</v>
      </c>
      <c r="B32" s="28" t="s">
        <v>25</v>
      </c>
      <c r="C32" s="27" t="s">
        <v>38</v>
      </c>
      <c r="D32" s="138"/>
    </row>
    <row r="33" spans="1:4" ht="18.75" customHeight="1">
      <c r="A33" s="27" t="s">
        <v>26</v>
      </c>
      <c r="B33" s="28" t="s">
        <v>61</v>
      </c>
      <c r="C33" s="27" t="s">
        <v>39</v>
      </c>
      <c r="D33" s="138"/>
    </row>
    <row r="34" spans="1:4" ht="18.75" customHeight="1">
      <c r="A34" s="30" t="s">
        <v>32</v>
      </c>
      <c r="B34" s="31" t="s">
        <v>40</v>
      </c>
      <c r="C34" s="30" t="s">
        <v>36</v>
      </c>
      <c r="D34" s="139"/>
    </row>
    <row r="35" spans="1:6" ht="12.75">
      <c r="A35" s="211" t="s">
        <v>167</v>
      </c>
      <c r="B35" s="211"/>
      <c r="C35" s="211"/>
      <c r="D35" s="211"/>
      <c r="E35" s="211"/>
      <c r="F35" s="211"/>
    </row>
    <row r="36" spans="1:6" ht="22.5" customHeight="1">
      <c r="A36" s="211"/>
      <c r="B36" s="211"/>
      <c r="C36" s="211"/>
      <c r="D36" s="211"/>
      <c r="E36" s="211"/>
      <c r="F36" s="211"/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C1">
      <selection activeCell="D18" sqref="D18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76" t="s">
        <v>459</v>
      </c>
      <c r="H1" s="176"/>
      <c r="I1" s="176"/>
      <c r="J1" s="176"/>
    </row>
    <row r="2" spans="7:10" ht="12.75">
      <c r="G2" s="176"/>
      <c r="H2" s="176"/>
      <c r="I2" s="176"/>
      <c r="J2" s="176"/>
    </row>
    <row r="3" spans="7:10" ht="12.75">
      <c r="G3" s="176"/>
      <c r="H3" s="176"/>
      <c r="I3" s="176"/>
      <c r="J3" s="176"/>
    </row>
    <row r="5" spans="1:10" ht="48.75" customHeight="1">
      <c r="A5" s="216" t="s">
        <v>67</v>
      </c>
      <c r="B5" s="216"/>
      <c r="C5" s="216"/>
      <c r="D5" s="216"/>
      <c r="E5" s="216"/>
      <c r="F5" s="216"/>
      <c r="G5" s="216"/>
      <c r="H5" s="216"/>
      <c r="I5" s="216"/>
      <c r="J5" s="216"/>
    </row>
    <row r="6" ht="12.75">
      <c r="J6" s="9" t="s">
        <v>46</v>
      </c>
    </row>
    <row r="7" spans="1:10" s="4" customFormat="1" ht="20.25" customHeight="1">
      <c r="A7" s="210" t="s">
        <v>2</v>
      </c>
      <c r="B7" s="217" t="s">
        <v>3</v>
      </c>
      <c r="C7" s="217" t="s">
        <v>4</v>
      </c>
      <c r="D7" s="206" t="s">
        <v>125</v>
      </c>
      <c r="E7" s="206" t="s">
        <v>124</v>
      </c>
      <c r="F7" s="206" t="s">
        <v>92</v>
      </c>
      <c r="G7" s="206"/>
      <c r="H7" s="206"/>
      <c r="I7" s="206"/>
      <c r="J7" s="206"/>
    </row>
    <row r="8" spans="1:10" s="4" customFormat="1" ht="20.25" customHeight="1">
      <c r="A8" s="210"/>
      <c r="B8" s="218"/>
      <c r="C8" s="218"/>
      <c r="D8" s="210"/>
      <c r="E8" s="206"/>
      <c r="F8" s="206" t="s">
        <v>122</v>
      </c>
      <c r="G8" s="206" t="s">
        <v>6</v>
      </c>
      <c r="H8" s="206"/>
      <c r="I8" s="206"/>
      <c r="J8" s="206" t="s">
        <v>123</v>
      </c>
    </row>
    <row r="9" spans="1:10" s="4" customFormat="1" ht="65.25" customHeight="1">
      <c r="A9" s="210"/>
      <c r="B9" s="219"/>
      <c r="C9" s="219"/>
      <c r="D9" s="210"/>
      <c r="E9" s="206"/>
      <c r="F9" s="206"/>
      <c r="G9" s="16" t="s">
        <v>119</v>
      </c>
      <c r="H9" s="16" t="s">
        <v>120</v>
      </c>
      <c r="I9" s="16" t="s">
        <v>121</v>
      </c>
      <c r="J9" s="206"/>
    </row>
    <row r="10" spans="1:10" ht="12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0" ht="19.5" customHeight="1">
      <c r="A11" s="132">
        <v>750</v>
      </c>
      <c r="B11" s="132">
        <v>75011</v>
      </c>
      <c r="C11" s="132">
        <v>2010</v>
      </c>
      <c r="D11" s="133">
        <f>1!E28</f>
        <v>116740</v>
      </c>
      <c r="E11" s="133"/>
      <c r="F11" s="133"/>
      <c r="G11" s="133"/>
      <c r="H11" s="133"/>
      <c r="I11" s="133"/>
      <c r="J11" s="133">
        <v>0</v>
      </c>
    </row>
    <row r="12" spans="1:10" ht="19.5" customHeight="1">
      <c r="A12" s="132">
        <v>750</v>
      </c>
      <c r="B12" s="132">
        <v>75011</v>
      </c>
      <c r="C12" s="132">
        <v>4010</v>
      </c>
      <c r="D12" s="133"/>
      <c r="E12" s="133">
        <f>F12</f>
        <v>97576</v>
      </c>
      <c r="F12" s="133">
        <f>G12</f>
        <v>97576</v>
      </c>
      <c r="G12" s="133">
        <v>97576</v>
      </c>
      <c r="H12" s="133">
        <v>0</v>
      </c>
      <c r="I12" s="133">
        <v>0</v>
      </c>
      <c r="J12" s="133">
        <v>0</v>
      </c>
    </row>
    <row r="13" spans="1:10" ht="19.5" customHeight="1">
      <c r="A13" s="132">
        <v>750</v>
      </c>
      <c r="B13" s="132">
        <v>75011</v>
      </c>
      <c r="C13" s="132">
        <v>4110</v>
      </c>
      <c r="D13" s="133"/>
      <c r="E13" s="133">
        <f>F13</f>
        <v>16773</v>
      </c>
      <c r="F13" s="133">
        <f>H13</f>
        <v>16773</v>
      </c>
      <c r="G13" s="133">
        <v>0</v>
      </c>
      <c r="H13" s="133">
        <v>16773</v>
      </c>
      <c r="I13" s="133">
        <v>0</v>
      </c>
      <c r="J13" s="133">
        <v>0</v>
      </c>
    </row>
    <row r="14" spans="1:10" ht="19.5" customHeight="1">
      <c r="A14" s="132">
        <v>750</v>
      </c>
      <c r="B14" s="132">
        <v>75011</v>
      </c>
      <c r="C14" s="132">
        <v>4120</v>
      </c>
      <c r="D14" s="133"/>
      <c r="E14" s="133">
        <f>F14</f>
        <v>2391</v>
      </c>
      <c r="F14" s="133">
        <f>H14</f>
        <v>2391</v>
      </c>
      <c r="G14" s="133">
        <v>0</v>
      </c>
      <c r="H14" s="133">
        <v>2391</v>
      </c>
      <c r="I14" s="133">
        <v>0</v>
      </c>
      <c r="J14" s="133">
        <v>0</v>
      </c>
    </row>
    <row r="15" spans="1:10" s="58" customFormat="1" ht="19.5" customHeight="1">
      <c r="A15" s="215" t="s">
        <v>197</v>
      </c>
      <c r="B15" s="215"/>
      <c r="C15" s="215"/>
      <c r="D15" s="134">
        <f aca="true" t="shared" si="0" ref="D15:J15">D11+D12+D13+D14</f>
        <v>116740</v>
      </c>
      <c r="E15" s="134">
        <f t="shared" si="0"/>
        <v>116740</v>
      </c>
      <c r="F15" s="134">
        <f t="shared" si="0"/>
        <v>116740</v>
      </c>
      <c r="G15" s="134">
        <f t="shared" si="0"/>
        <v>97576</v>
      </c>
      <c r="H15" s="134">
        <f t="shared" si="0"/>
        <v>19164</v>
      </c>
      <c r="I15" s="134">
        <f t="shared" si="0"/>
        <v>0</v>
      </c>
      <c r="J15" s="134">
        <f t="shared" si="0"/>
        <v>0</v>
      </c>
    </row>
    <row r="16" spans="1:10" ht="19.5" customHeight="1">
      <c r="A16" s="132">
        <v>751</v>
      </c>
      <c r="B16" s="132">
        <v>75101</v>
      </c>
      <c r="C16" s="132">
        <v>2010</v>
      </c>
      <c r="D16" s="133">
        <f>1!E35</f>
        <v>3677</v>
      </c>
      <c r="E16" s="133"/>
      <c r="F16" s="133"/>
      <c r="G16" s="133"/>
      <c r="H16" s="133"/>
      <c r="I16" s="133"/>
      <c r="J16" s="133">
        <v>0</v>
      </c>
    </row>
    <row r="17" spans="1:10" ht="19.5" customHeight="1">
      <c r="A17" s="132">
        <v>751</v>
      </c>
      <c r="B17" s="132">
        <v>75101</v>
      </c>
      <c r="C17" s="132">
        <v>4010</v>
      </c>
      <c r="D17" s="133"/>
      <c r="E17" s="133">
        <f>F17</f>
        <v>3074</v>
      </c>
      <c r="F17" s="133">
        <f>G17</f>
        <v>3074</v>
      </c>
      <c r="G17" s="133">
        <v>3074</v>
      </c>
      <c r="H17" s="133">
        <v>0</v>
      </c>
      <c r="I17" s="133">
        <v>0</v>
      </c>
      <c r="J17" s="133">
        <v>0</v>
      </c>
    </row>
    <row r="18" spans="1:10" ht="19.5" customHeight="1">
      <c r="A18" s="132">
        <v>751</v>
      </c>
      <c r="B18" s="132">
        <v>75101</v>
      </c>
      <c r="C18" s="132">
        <v>4110</v>
      </c>
      <c r="D18" s="133"/>
      <c r="E18" s="133">
        <f>F18</f>
        <v>528</v>
      </c>
      <c r="F18" s="133">
        <f>H18</f>
        <v>528</v>
      </c>
      <c r="G18" s="133">
        <v>0</v>
      </c>
      <c r="H18" s="133">
        <v>528</v>
      </c>
      <c r="I18" s="133">
        <v>0</v>
      </c>
      <c r="J18" s="133">
        <v>0</v>
      </c>
    </row>
    <row r="19" spans="1:10" ht="19.5" customHeight="1">
      <c r="A19" s="132">
        <v>751</v>
      </c>
      <c r="B19" s="132">
        <v>75101</v>
      </c>
      <c r="C19" s="132">
        <v>4120</v>
      </c>
      <c r="D19" s="133"/>
      <c r="E19" s="133">
        <f>F19</f>
        <v>75</v>
      </c>
      <c r="F19" s="133">
        <f>H19</f>
        <v>75</v>
      </c>
      <c r="G19" s="133">
        <v>0</v>
      </c>
      <c r="H19" s="133">
        <v>75</v>
      </c>
      <c r="I19" s="133">
        <v>0</v>
      </c>
      <c r="J19" s="133">
        <v>0</v>
      </c>
    </row>
    <row r="20" spans="1:10" s="58" customFormat="1" ht="19.5" customHeight="1">
      <c r="A20" s="215" t="s">
        <v>428</v>
      </c>
      <c r="B20" s="215"/>
      <c r="C20" s="215"/>
      <c r="D20" s="134">
        <f>D16+D17+D18+D19</f>
        <v>3677</v>
      </c>
      <c r="E20" s="134">
        <f aca="true" t="shared" si="1" ref="E20:J20">E16+E17+E18+E19</f>
        <v>3677</v>
      </c>
      <c r="F20" s="134">
        <f t="shared" si="1"/>
        <v>3677</v>
      </c>
      <c r="G20" s="134">
        <f t="shared" si="1"/>
        <v>3074</v>
      </c>
      <c r="H20" s="134">
        <f t="shared" si="1"/>
        <v>603</v>
      </c>
      <c r="I20" s="134">
        <f t="shared" si="1"/>
        <v>0</v>
      </c>
      <c r="J20" s="134">
        <f t="shared" si="1"/>
        <v>0</v>
      </c>
    </row>
    <row r="21" spans="1:10" ht="19.5" customHeight="1">
      <c r="A21" s="132">
        <v>852</v>
      </c>
      <c r="B21" s="132">
        <v>85212</v>
      </c>
      <c r="C21" s="132">
        <v>2010</v>
      </c>
      <c r="D21" s="133">
        <f>1!E82</f>
        <v>8498529</v>
      </c>
      <c r="E21" s="133"/>
      <c r="F21" s="133"/>
      <c r="G21" s="133"/>
      <c r="H21" s="133"/>
      <c r="I21" s="133"/>
      <c r="J21" s="133">
        <v>0</v>
      </c>
    </row>
    <row r="22" spans="1:10" ht="19.5" customHeight="1">
      <c r="A22" s="132">
        <v>852</v>
      </c>
      <c r="B22" s="132">
        <v>85212</v>
      </c>
      <c r="C22" s="132">
        <v>3110</v>
      </c>
      <c r="D22" s="133"/>
      <c r="E22" s="133">
        <f aca="true" t="shared" si="2" ref="E22:E32">F22</f>
        <v>8195930</v>
      </c>
      <c r="F22" s="133">
        <v>8195930</v>
      </c>
      <c r="G22" s="133"/>
      <c r="H22" s="133"/>
      <c r="I22" s="133"/>
      <c r="J22" s="133">
        <v>0</v>
      </c>
    </row>
    <row r="23" spans="1:10" ht="19.5" customHeight="1">
      <c r="A23" s="132">
        <v>852</v>
      </c>
      <c r="B23" s="132">
        <v>85212</v>
      </c>
      <c r="C23" s="132">
        <v>4010</v>
      </c>
      <c r="D23" s="133"/>
      <c r="E23" s="133">
        <f t="shared" si="2"/>
        <v>155909</v>
      </c>
      <c r="F23" s="133">
        <f>G23</f>
        <v>155909</v>
      </c>
      <c r="G23" s="133">
        <v>155909</v>
      </c>
      <c r="H23" s="133"/>
      <c r="I23" s="133"/>
      <c r="J23" s="133">
        <v>0</v>
      </c>
    </row>
    <row r="24" spans="1:10" ht="19.5" customHeight="1">
      <c r="A24" s="132">
        <v>852</v>
      </c>
      <c r="B24" s="132">
        <v>85212</v>
      </c>
      <c r="C24" s="132">
        <v>4040</v>
      </c>
      <c r="D24" s="133"/>
      <c r="E24" s="133">
        <f>G24</f>
        <v>3597</v>
      </c>
      <c r="F24" s="133">
        <f>G24</f>
        <v>3597</v>
      </c>
      <c r="G24" s="133">
        <v>3597</v>
      </c>
      <c r="H24" s="133"/>
      <c r="I24" s="133"/>
      <c r="J24" s="133"/>
    </row>
    <row r="25" spans="1:10" ht="19.5" customHeight="1">
      <c r="A25" s="132">
        <v>852</v>
      </c>
      <c r="B25" s="132">
        <v>85212</v>
      </c>
      <c r="C25" s="132">
        <v>4110</v>
      </c>
      <c r="D25" s="133"/>
      <c r="E25" s="133">
        <f t="shared" si="2"/>
        <v>82419</v>
      </c>
      <c r="F25" s="133">
        <f>H25</f>
        <v>82419</v>
      </c>
      <c r="G25" s="133"/>
      <c r="H25" s="133">
        <v>82419</v>
      </c>
      <c r="I25" s="133"/>
      <c r="J25" s="133">
        <v>0</v>
      </c>
    </row>
    <row r="26" spans="1:10" ht="19.5" customHeight="1">
      <c r="A26" s="132">
        <v>852</v>
      </c>
      <c r="B26" s="132">
        <v>85212</v>
      </c>
      <c r="C26" s="132">
        <v>4120</v>
      </c>
      <c r="D26" s="133"/>
      <c r="E26" s="133">
        <f t="shared" si="2"/>
        <v>3842</v>
      </c>
      <c r="F26" s="133">
        <f>H26</f>
        <v>3842</v>
      </c>
      <c r="G26" s="133"/>
      <c r="H26" s="133">
        <v>3842</v>
      </c>
      <c r="I26" s="133"/>
      <c r="J26" s="133">
        <v>0</v>
      </c>
    </row>
    <row r="27" spans="1:10" ht="19.5" customHeight="1">
      <c r="A27" s="132">
        <v>852</v>
      </c>
      <c r="B27" s="132">
        <v>85212</v>
      </c>
      <c r="C27" s="132">
        <v>4170</v>
      </c>
      <c r="D27" s="133"/>
      <c r="E27" s="133">
        <f t="shared" si="2"/>
        <v>3420</v>
      </c>
      <c r="F27" s="133">
        <f>G27</f>
        <v>3420</v>
      </c>
      <c r="G27" s="133">
        <v>3420</v>
      </c>
      <c r="H27" s="133"/>
      <c r="I27" s="133"/>
      <c r="J27" s="133">
        <v>0</v>
      </c>
    </row>
    <row r="28" spans="1:10" ht="19.5" customHeight="1">
      <c r="A28" s="132">
        <v>852</v>
      </c>
      <c r="B28" s="132">
        <v>85212</v>
      </c>
      <c r="C28" s="132">
        <v>4210</v>
      </c>
      <c r="D28" s="133"/>
      <c r="E28" s="133">
        <f t="shared" si="2"/>
        <v>14512</v>
      </c>
      <c r="F28" s="133">
        <v>14512</v>
      </c>
      <c r="G28" s="133"/>
      <c r="H28" s="133"/>
      <c r="I28" s="133"/>
      <c r="J28" s="133">
        <v>0</v>
      </c>
    </row>
    <row r="29" spans="1:10" ht="19.5" customHeight="1">
      <c r="A29" s="132">
        <v>852</v>
      </c>
      <c r="B29" s="132">
        <v>85212</v>
      </c>
      <c r="C29" s="132">
        <v>4300</v>
      </c>
      <c r="D29" s="133"/>
      <c r="E29" s="133">
        <f t="shared" si="2"/>
        <v>28940</v>
      </c>
      <c r="F29" s="133">
        <v>28940</v>
      </c>
      <c r="G29" s="133"/>
      <c r="H29" s="133"/>
      <c r="I29" s="133"/>
      <c r="J29" s="133">
        <v>0</v>
      </c>
    </row>
    <row r="30" spans="1:10" ht="19.5" customHeight="1">
      <c r="A30" s="132">
        <v>852</v>
      </c>
      <c r="B30" s="132">
        <v>85212</v>
      </c>
      <c r="C30" s="132">
        <v>4370</v>
      </c>
      <c r="D30" s="133"/>
      <c r="E30" s="133">
        <f t="shared" si="2"/>
        <v>6560</v>
      </c>
      <c r="F30" s="133">
        <v>6560</v>
      </c>
      <c r="G30" s="133"/>
      <c r="H30" s="133"/>
      <c r="I30" s="133"/>
      <c r="J30" s="133">
        <v>0</v>
      </c>
    </row>
    <row r="31" spans="1:10" ht="19.5" customHeight="1">
      <c r="A31" s="132">
        <v>852</v>
      </c>
      <c r="B31" s="132">
        <v>85212</v>
      </c>
      <c r="C31" s="132">
        <v>4440</v>
      </c>
      <c r="D31" s="133"/>
      <c r="E31" s="133">
        <f t="shared" si="2"/>
        <v>2400</v>
      </c>
      <c r="F31" s="133">
        <v>2400</v>
      </c>
      <c r="G31" s="133"/>
      <c r="H31" s="133"/>
      <c r="I31" s="133"/>
      <c r="J31" s="133">
        <v>0</v>
      </c>
    </row>
    <row r="32" spans="1:10" ht="19.5" customHeight="1">
      <c r="A32" s="132">
        <v>852</v>
      </c>
      <c r="B32" s="132">
        <v>85212</v>
      </c>
      <c r="C32" s="132">
        <v>4740</v>
      </c>
      <c r="D32" s="133"/>
      <c r="E32" s="133">
        <f t="shared" si="2"/>
        <v>1000</v>
      </c>
      <c r="F32" s="133">
        <v>1000</v>
      </c>
      <c r="G32" s="133"/>
      <c r="H32" s="133"/>
      <c r="I32" s="133"/>
      <c r="J32" s="133">
        <v>0</v>
      </c>
    </row>
    <row r="33" spans="1:10" ht="19.5" customHeight="1">
      <c r="A33" s="132">
        <v>852</v>
      </c>
      <c r="B33" s="132">
        <v>85213</v>
      </c>
      <c r="C33" s="132">
        <v>2010</v>
      </c>
      <c r="D33" s="133">
        <f>1!E84</f>
        <v>77744</v>
      </c>
      <c r="E33" s="133"/>
      <c r="F33" s="133"/>
      <c r="G33" s="133"/>
      <c r="H33" s="133"/>
      <c r="I33" s="133"/>
      <c r="J33" s="133">
        <v>0</v>
      </c>
    </row>
    <row r="34" spans="1:10" ht="19.5" customHeight="1">
      <c r="A34" s="132">
        <v>852</v>
      </c>
      <c r="B34" s="132">
        <v>85213</v>
      </c>
      <c r="C34" s="135">
        <v>4130</v>
      </c>
      <c r="D34" s="133"/>
      <c r="E34" s="133">
        <f>D33</f>
        <v>77744</v>
      </c>
      <c r="F34" s="133">
        <f>E34</f>
        <v>77744</v>
      </c>
      <c r="G34" s="133"/>
      <c r="H34" s="133"/>
      <c r="I34" s="133"/>
      <c r="J34" s="133">
        <v>0</v>
      </c>
    </row>
    <row r="35" spans="1:10" ht="19.5" customHeight="1">
      <c r="A35" s="132">
        <v>852</v>
      </c>
      <c r="B35" s="132">
        <v>85214</v>
      </c>
      <c r="C35" s="132">
        <v>2010</v>
      </c>
      <c r="D35" s="133">
        <f>1!E86</f>
        <v>301932</v>
      </c>
      <c r="E35" s="133"/>
      <c r="F35" s="133"/>
      <c r="G35" s="133"/>
      <c r="H35" s="133"/>
      <c r="I35" s="133"/>
      <c r="J35" s="133">
        <v>0</v>
      </c>
    </row>
    <row r="36" spans="1:10" ht="19.5" customHeight="1">
      <c r="A36" s="132">
        <v>852</v>
      </c>
      <c r="B36" s="132">
        <v>85214</v>
      </c>
      <c r="C36" s="132">
        <v>3110</v>
      </c>
      <c r="D36" s="133"/>
      <c r="E36" s="133">
        <f>D35</f>
        <v>301932</v>
      </c>
      <c r="F36" s="133">
        <f>E36</f>
        <v>301932</v>
      </c>
      <c r="G36" s="133"/>
      <c r="H36" s="133"/>
      <c r="I36" s="133"/>
      <c r="J36" s="133">
        <v>0</v>
      </c>
    </row>
    <row r="37" spans="1:10" ht="19.5" customHeight="1">
      <c r="A37" s="132">
        <v>852</v>
      </c>
      <c r="B37" s="132">
        <v>85228</v>
      </c>
      <c r="C37" s="132">
        <v>2010</v>
      </c>
      <c r="D37" s="133">
        <f>1!E92</f>
        <v>23086</v>
      </c>
      <c r="E37" s="133"/>
      <c r="F37" s="133"/>
      <c r="G37" s="133"/>
      <c r="H37" s="133"/>
      <c r="I37" s="133"/>
      <c r="J37" s="133">
        <v>0</v>
      </c>
    </row>
    <row r="38" spans="1:10" ht="19.5" customHeight="1">
      <c r="A38" s="132">
        <v>852</v>
      </c>
      <c r="B38" s="132">
        <v>85228</v>
      </c>
      <c r="C38" s="132">
        <v>3020</v>
      </c>
      <c r="D38" s="133"/>
      <c r="E38" s="133">
        <v>151</v>
      </c>
      <c r="F38" s="133"/>
      <c r="G38" s="133"/>
      <c r="H38" s="133"/>
      <c r="I38" s="133"/>
      <c r="J38" s="133">
        <v>0</v>
      </c>
    </row>
    <row r="39" spans="1:10" ht="19.5" customHeight="1">
      <c r="A39" s="132">
        <v>852</v>
      </c>
      <c r="B39" s="132">
        <v>85228</v>
      </c>
      <c r="C39" s="132">
        <v>4010</v>
      </c>
      <c r="D39" s="133"/>
      <c r="E39" s="133">
        <v>14832</v>
      </c>
      <c r="F39" s="133">
        <v>14832</v>
      </c>
      <c r="G39" s="133">
        <v>14832</v>
      </c>
      <c r="H39" s="133"/>
      <c r="I39" s="133"/>
      <c r="J39" s="133">
        <v>0</v>
      </c>
    </row>
    <row r="40" spans="1:10" ht="19.5" customHeight="1">
      <c r="A40" s="132">
        <v>852</v>
      </c>
      <c r="B40" s="132">
        <v>85228</v>
      </c>
      <c r="C40" s="132">
        <v>4110</v>
      </c>
      <c r="D40" s="133"/>
      <c r="E40" s="133">
        <v>3220</v>
      </c>
      <c r="F40" s="133">
        <v>3220</v>
      </c>
      <c r="G40" s="133"/>
      <c r="H40" s="133">
        <v>3220</v>
      </c>
      <c r="I40" s="133"/>
      <c r="J40" s="133">
        <v>0</v>
      </c>
    </row>
    <row r="41" spans="1:10" ht="19.5" customHeight="1">
      <c r="A41" s="132">
        <v>852</v>
      </c>
      <c r="B41" s="132">
        <v>85228</v>
      </c>
      <c r="C41" s="132">
        <v>4120</v>
      </c>
      <c r="D41" s="133"/>
      <c r="E41" s="133">
        <v>453</v>
      </c>
      <c r="F41" s="133">
        <v>453</v>
      </c>
      <c r="G41" s="133"/>
      <c r="H41" s="133">
        <v>453</v>
      </c>
      <c r="I41" s="133"/>
      <c r="J41" s="133">
        <v>0</v>
      </c>
    </row>
    <row r="42" spans="1:10" ht="19.5" customHeight="1">
      <c r="A42" s="132">
        <v>852</v>
      </c>
      <c r="B42" s="132">
        <v>85228</v>
      </c>
      <c r="C42" s="132">
        <v>4170</v>
      </c>
      <c r="D42" s="133"/>
      <c r="E42" s="133">
        <v>3630</v>
      </c>
      <c r="F42" s="133">
        <v>3630</v>
      </c>
      <c r="G42" s="133">
        <v>3630</v>
      </c>
      <c r="H42" s="133"/>
      <c r="I42" s="133"/>
      <c r="J42" s="133">
        <v>0</v>
      </c>
    </row>
    <row r="43" spans="1:10" ht="19.5" customHeight="1">
      <c r="A43" s="132">
        <v>852</v>
      </c>
      <c r="B43" s="132">
        <v>85228</v>
      </c>
      <c r="C43" s="132">
        <v>4440</v>
      </c>
      <c r="D43" s="133"/>
      <c r="E43" s="133">
        <v>800</v>
      </c>
      <c r="F43" s="133">
        <v>800</v>
      </c>
      <c r="G43" s="133"/>
      <c r="H43" s="133"/>
      <c r="I43" s="133"/>
      <c r="J43" s="133">
        <v>0</v>
      </c>
    </row>
    <row r="44" spans="1:10" s="58" customFormat="1" ht="19.5" customHeight="1">
      <c r="A44" s="215" t="s">
        <v>429</v>
      </c>
      <c r="B44" s="215"/>
      <c r="C44" s="215"/>
      <c r="D44" s="134">
        <f aca="true" t="shared" si="3" ref="D44:J44">D21+D22+D23+D25+D26+D27+D28+D29+D33+D34+D35+D36+D37+D24+D30+D31+D32+D38+D39+D40+D41+D42+D43</f>
        <v>8901291</v>
      </c>
      <c r="E44" s="134">
        <f t="shared" si="3"/>
        <v>8901291</v>
      </c>
      <c r="F44" s="134">
        <f t="shared" si="3"/>
        <v>8901140</v>
      </c>
      <c r="G44" s="134">
        <f t="shared" si="3"/>
        <v>181388</v>
      </c>
      <c r="H44" s="134">
        <f t="shared" si="3"/>
        <v>89934</v>
      </c>
      <c r="I44" s="134">
        <f t="shared" si="3"/>
        <v>0</v>
      </c>
      <c r="J44" s="134">
        <f t="shared" si="3"/>
        <v>0</v>
      </c>
    </row>
    <row r="45" spans="1:10" ht="19.5" customHeight="1">
      <c r="A45" s="214" t="s">
        <v>136</v>
      </c>
      <c r="B45" s="214"/>
      <c r="C45" s="214"/>
      <c r="D45" s="136">
        <f aca="true" t="shared" si="4" ref="D45:J45">D44+D20+D15</f>
        <v>9021708</v>
      </c>
      <c r="E45" s="136">
        <f t="shared" si="4"/>
        <v>9021708</v>
      </c>
      <c r="F45" s="136">
        <f t="shared" si="4"/>
        <v>9021557</v>
      </c>
      <c r="G45" s="136">
        <f t="shared" si="4"/>
        <v>282038</v>
      </c>
      <c r="H45" s="136">
        <f t="shared" si="4"/>
        <v>109701</v>
      </c>
      <c r="I45" s="136">
        <f t="shared" si="4"/>
        <v>0</v>
      </c>
      <c r="J45" s="136">
        <f t="shared" si="4"/>
        <v>0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16"/>
  <sheetViews>
    <sheetView workbookViewId="0" topLeftCell="A6">
      <selection activeCell="D18" sqref="D1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7:10" ht="12.75" customHeight="1">
      <c r="G1" s="222" t="s">
        <v>458</v>
      </c>
      <c r="H1" s="222"/>
      <c r="I1" s="222"/>
      <c r="J1" s="222"/>
    </row>
    <row r="2" spans="7:10" ht="12.75">
      <c r="G2" s="222"/>
      <c r="H2" s="222"/>
      <c r="I2" s="222"/>
      <c r="J2" s="222"/>
    </row>
    <row r="3" spans="7:10" ht="12.75">
      <c r="G3" s="222"/>
      <c r="H3" s="222"/>
      <c r="I3" s="222"/>
      <c r="J3" s="222"/>
    </row>
    <row r="5" spans="1:10" ht="45" customHeight="1">
      <c r="A5" s="216" t="s">
        <v>82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6" ht="15.75">
      <c r="A6" s="12"/>
      <c r="B6" s="12"/>
      <c r="C6" s="12"/>
      <c r="D6" s="12"/>
      <c r="E6" s="12"/>
      <c r="F6" s="12"/>
    </row>
    <row r="7" spans="1:10" ht="13.5" customHeight="1">
      <c r="A7" s="5"/>
      <c r="B7" s="5"/>
      <c r="C7" s="5"/>
      <c r="D7" s="5"/>
      <c r="E7" s="5"/>
      <c r="F7" s="5"/>
      <c r="J7" s="54" t="s">
        <v>46</v>
      </c>
    </row>
    <row r="8" spans="1:10" ht="20.25" customHeight="1">
      <c r="A8" s="210" t="s">
        <v>2</v>
      </c>
      <c r="B8" s="217" t="s">
        <v>3</v>
      </c>
      <c r="C8" s="217" t="s">
        <v>4</v>
      </c>
      <c r="D8" s="206" t="s">
        <v>125</v>
      </c>
      <c r="E8" s="206" t="s">
        <v>124</v>
      </c>
      <c r="F8" s="206" t="s">
        <v>92</v>
      </c>
      <c r="G8" s="206"/>
      <c r="H8" s="206"/>
      <c r="I8" s="206"/>
      <c r="J8" s="206"/>
    </row>
    <row r="9" spans="1:10" ht="18" customHeight="1">
      <c r="A9" s="210"/>
      <c r="B9" s="218"/>
      <c r="C9" s="218"/>
      <c r="D9" s="210"/>
      <c r="E9" s="206"/>
      <c r="F9" s="206" t="s">
        <v>122</v>
      </c>
      <c r="G9" s="206" t="s">
        <v>6</v>
      </c>
      <c r="H9" s="206"/>
      <c r="I9" s="206"/>
      <c r="J9" s="206" t="s">
        <v>123</v>
      </c>
    </row>
    <row r="10" spans="1:10" ht="69" customHeight="1">
      <c r="A10" s="210"/>
      <c r="B10" s="219"/>
      <c r="C10" s="219"/>
      <c r="D10" s="210"/>
      <c r="E10" s="206"/>
      <c r="F10" s="206"/>
      <c r="G10" s="16" t="s">
        <v>119</v>
      </c>
      <c r="H10" s="16" t="s">
        <v>120</v>
      </c>
      <c r="I10" s="16" t="s">
        <v>121</v>
      </c>
      <c r="J10" s="206"/>
    </row>
    <row r="11" spans="1:10" ht="12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</row>
    <row r="12" spans="1:10" ht="19.5" customHeight="1">
      <c r="A12" s="74">
        <v>710</v>
      </c>
      <c r="B12" s="74">
        <v>71035</v>
      </c>
      <c r="C12" s="74">
        <v>2020</v>
      </c>
      <c r="D12" s="75">
        <v>2000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ht="19.5" customHeight="1">
      <c r="A13" s="74">
        <v>710</v>
      </c>
      <c r="B13" s="74">
        <v>71035</v>
      </c>
      <c r="C13" s="74">
        <v>4210</v>
      </c>
      <c r="D13" s="75">
        <v>0</v>
      </c>
      <c r="E13" s="75">
        <v>1000</v>
      </c>
      <c r="F13" s="75">
        <v>1000</v>
      </c>
      <c r="G13" s="75">
        <v>0</v>
      </c>
      <c r="H13" s="75">
        <v>0</v>
      </c>
      <c r="I13" s="75">
        <v>0</v>
      </c>
      <c r="J13" s="75">
        <v>0</v>
      </c>
    </row>
    <row r="14" spans="1:10" ht="19.5" customHeight="1">
      <c r="A14" s="74">
        <v>710</v>
      </c>
      <c r="B14" s="74">
        <v>71035</v>
      </c>
      <c r="C14" s="74">
        <v>4300</v>
      </c>
      <c r="D14" s="75">
        <v>0</v>
      </c>
      <c r="E14" s="75">
        <v>1000</v>
      </c>
      <c r="F14" s="75">
        <v>1000</v>
      </c>
      <c r="G14" s="75">
        <v>0</v>
      </c>
      <c r="H14" s="75">
        <v>0</v>
      </c>
      <c r="I14" s="75">
        <v>0</v>
      </c>
      <c r="J14" s="75">
        <v>0</v>
      </c>
    </row>
    <row r="15" spans="1:75" s="70" customFormat="1" ht="19.5" customHeight="1">
      <c r="A15" s="220" t="s">
        <v>439</v>
      </c>
      <c r="B15" s="220"/>
      <c r="C15" s="220"/>
      <c r="D15" s="76">
        <f>SUM(D12:D14)</f>
        <v>2000</v>
      </c>
      <c r="E15" s="76">
        <f aca="true" t="shared" si="0" ref="E15:J15">SUM(E12:E14)</f>
        <v>2000</v>
      </c>
      <c r="F15" s="76">
        <f t="shared" si="0"/>
        <v>2000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</row>
    <row r="16" spans="1:10" ht="24.75" customHeight="1">
      <c r="A16" s="221" t="s">
        <v>136</v>
      </c>
      <c r="B16" s="221"/>
      <c r="C16" s="221"/>
      <c r="D16" s="78">
        <f>D15</f>
        <v>2000</v>
      </c>
      <c r="E16" s="78">
        <f aca="true" t="shared" si="1" ref="E16:J16">E15</f>
        <v>2000</v>
      </c>
      <c r="F16" s="78">
        <f t="shared" si="1"/>
        <v>2000</v>
      </c>
      <c r="G16" s="78">
        <f t="shared" si="1"/>
        <v>0</v>
      </c>
      <c r="H16" s="78">
        <f t="shared" si="1"/>
        <v>0</v>
      </c>
      <c r="I16" s="78">
        <f t="shared" si="1"/>
        <v>0</v>
      </c>
      <c r="J16" s="78">
        <f t="shared" si="1"/>
        <v>0</v>
      </c>
    </row>
  </sheetData>
  <mergeCells count="13">
    <mergeCell ref="G9:I9"/>
    <mergeCell ref="J9:J10"/>
    <mergeCell ref="A8:A10"/>
    <mergeCell ref="G1:J3"/>
    <mergeCell ref="B8:B10"/>
    <mergeCell ref="A5:J5"/>
    <mergeCell ref="E8:E10"/>
    <mergeCell ref="F8:J8"/>
    <mergeCell ref="F9:F10"/>
    <mergeCell ref="A15:C15"/>
    <mergeCell ref="A16:C16"/>
    <mergeCell ref="C8:C10"/>
    <mergeCell ref="D8:D10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4">
      <selection activeCell="G22" sqref="G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223" t="s">
        <v>457</v>
      </c>
      <c r="F1" s="223"/>
      <c r="G1" s="223"/>
      <c r="H1" s="223"/>
      <c r="I1" s="223"/>
    </row>
    <row r="2" spans="5:9" ht="12.75">
      <c r="E2" s="223"/>
      <c r="F2" s="223"/>
      <c r="G2" s="223"/>
      <c r="H2" s="223"/>
      <c r="I2" s="223"/>
    </row>
    <row r="3" spans="5:9" ht="12.75">
      <c r="E3" s="223"/>
      <c r="F3" s="223"/>
      <c r="G3" s="223"/>
      <c r="H3" s="223"/>
      <c r="I3" s="223"/>
    </row>
    <row r="5" spans="1:9" ht="16.5">
      <c r="A5" s="224" t="s">
        <v>70</v>
      </c>
      <c r="B5" s="224"/>
      <c r="C5" s="224"/>
      <c r="D5" s="224"/>
      <c r="E5" s="224"/>
      <c r="F5" s="224"/>
      <c r="G5" s="224"/>
      <c r="H5" s="224"/>
      <c r="I5" s="224"/>
    </row>
    <row r="6" spans="1:9" ht="16.5">
      <c r="A6" s="224" t="s">
        <v>134</v>
      </c>
      <c r="B6" s="224"/>
      <c r="C6" s="224"/>
      <c r="D6" s="224"/>
      <c r="E6" s="224"/>
      <c r="F6" s="224"/>
      <c r="G6" s="224"/>
      <c r="H6" s="224"/>
      <c r="I6" s="224"/>
    </row>
    <row r="7" spans="1:9" ht="13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9" t="s">
        <v>46</v>
      </c>
    </row>
    <row r="9" spans="1:9" ht="15" customHeight="1">
      <c r="A9" s="210" t="s">
        <v>71</v>
      </c>
      <c r="B9" s="210" t="s">
        <v>0</v>
      </c>
      <c r="C9" s="206" t="s">
        <v>2</v>
      </c>
      <c r="D9" s="206" t="s">
        <v>76</v>
      </c>
      <c r="E9" s="206" t="s">
        <v>84</v>
      </c>
      <c r="F9" s="206"/>
      <c r="G9" s="206" t="s">
        <v>8</v>
      </c>
      <c r="H9" s="206"/>
      <c r="I9" s="206" t="s">
        <v>78</v>
      </c>
    </row>
    <row r="10" spans="1:9" ht="15" customHeight="1">
      <c r="A10" s="210"/>
      <c r="B10" s="210"/>
      <c r="C10" s="206"/>
      <c r="D10" s="206"/>
      <c r="E10" s="206" t="s">
        <v>7</v>
      </c>
      <c r="F10" s="206" t="s">
        <v>135</v>
      </c>
      <c r="G10" s="206" t="s">
        <v>7</v>
      </c>
      <c r="H10" s="206" t="s">
        <v>77</v>
      </c>
      <c r="I10" s="206"/>
    </row>
    <row r="11" spans="1:9" ht="15" customHeight="1">
      <c r="A11" s="210"/>
      <c r="B11" s="210"/>
      <c r="C11" s="206"/>
      <c r="D11" s="206"/>
      <c r="E11" s="206"/>
      <c r="F11" s="206"/>
      <c r="G11" s="206"/>
      <c r="H11" s="206"/>
      <c r="I11" s="206"/>
    </row>
    <row r="12" spans="1:9" ht="15" customHeight="1">
      <c r="A12" s="210"/>
      <c r="B12" s="210"/>
      <c r="C12" s="206"/>
      <c r="D12" s="206"/>
      <c r="E12" s="206"/>
      <c r="F12" s="206"/>
      <c r="G12" s="206"/>
      <c r="H12" s="206"/>
      <c r="I12" s="206"/>
    </row>
    <row r="13" spans="1:9" ht="11.25" customHeight="1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</row>
    <row r="14" spans="1:9" ht="21.75" customHeight="1">
      <c r="A14" s="32" t="s">
        <v>10</v>
      </c>
      <c r="B14" s="18" t="s">
        <v>11</v>
      </c>
      <c r="C14" s="18"/>
      <c r="D14" s="83">
        <f aca="true" t="shared" si="0" ref="D14:I14">D16+D17+D18</f>
        <v>23250</v>
      </c>
      <c r="E14" s="83">
        <f t="shared" si="0"/>
        <v>3835188</v>
      </c>
      <c r="F14" s="83">
        <f t="shared" si="0"/>
        <v>2371266</v>
      </c>
      <c r="G14" s="83">
        <f t="shared" si="0"/>
        <v>3795218</v>
      </c>
      <c r="H14" s="83">
        <f t="shared" si="0"/>
        <v>0</v>
      </c>
      <c r="I14" s="83">
        <f t="shared" si="0"/>
        <v>63220</v>
      </c>
    </row>
    <row r="15" spans="1:9" ht="21.75" customHeight="1">
      <c r="A15" s="33"/>
      <c r="B15" s="34" t="s">
        <v>6</v>
      </c>
      <c r="C15" s="34"/>
      <c r="D15" s="81"/>
      <c r="E15" s="81"/>
      <c r="F15" s="81"/>
      <c r="G15" s="81"/>
      <c r="H15" s="81"/>
      <c r="I15" s="81"/>
    </row>
    <row r="16" spans="1:9" ht="21.75" customHeight="1">
      <c r="A16" s="33"/>
      <c r="B16" s="35" t="s">
        <v>328</v>
      </c>
      <c r="C16" s="35">
        <v>801</v>
      </c>
      <c r="D16" s="81">
        <v>5050</v>
      </c>
      <c r="E16" s="81">
        <v>2260149</v>
      </c>
      <c r="F16" s="81">
        <v>1766227</v>
      </c>
      <c r="G16" s="81">
        <v>2259292</v>
      </c>
      <c r="H16" s="81">
        <v>0</v>
      </c>
      <c r="I16" s="81">
        <v>5907</v>
      </c>
    </row>
    <row r="17" spans="1:9" ht="21.75" customHeight="1">
      <c r="A17" s="33"/>
      <c r="B17" s="35" t="s">
        <v>329</v>
      </c>
      <c r="C17" s="35">
        <v>926</v>
      </c>
      <c r="D17" s="81">
        <v>0</v>
      </c>
      <c r="E17" s="81">
        <v>842439</v>
      </c>
      <c r="F17" s="81">
        <v>325039</v>
      </c>
      <c r="G17" s="81">
        <v>803026</v>
      </c>
      <c r="H17" s="81">
        <v>0</v>
      </c>
      <c r="I17" s="81">
        <v>39413</v>
      </c>
    </row>
    <row r="18" spans="1:9" ht="21.75" customHeight="1">
      <c r="A18" s="33"/>
      <c r="B18" s="35" t="s">
        <v>330</v>
      </c>
      <c r="C18" s="35">
        <v>926</v>
      </c>
      <c r="D18" s="81">
        <v>18200</v>
      </c>
      <c r="E18" s="81">
        <f>737600+20000-25000</f>
        <v>732600</v>
      </c>
      <c r="F18" s="81">
        <f>285000+20000-25000</f>
        <v>280000</v>
      </c>
      <c r="G18" s="81">
        <f>737900+20000-25000</f>
        <v>732900</v>
      </c>
      <c r="H18" s="81">
        <v>0</v>
      </c>
      <c r="I18" s="81">
        <v>17900</v>
      </c>
    </row>
    <row r="19" spans="1:9" ht="21.75" customHeight="1">
      <c r="A19" s="32" t="s">
        <v>16</v>
      </c>
      <c r="B19" s="18" t="s">
        <v>15</v>
      </c>
      <c r="C19" s="18"/>
      <c r="D19" s="18"/>
      <c r="E19" s="18"/>
      <c r="F19" s="18"/>
      <c r="G19" s="18"/>
      <c r="H19" s="18"/>
      <c r="I19" s="18"/>
    </row>
    <row r="20" spans="1:9" ht="21.75" customHeight="1">
      <c r="A20" s="33"/>
      <c r="B20" s="34" t="s">
        <v>6</v>
      </c>
      <c r="C20" s="34"/>
      <c r="D20" s="19"/>
      <c r="E20" s="19"/>
      <c r="F20" s="19"/>
      <c r="G20" s="19"/>
      <c r="H20" s="19"/>
      <c r="I20" s="19"/>
    </row>
    <row r="21" spans="1:9" ht="21.75" customHeight="1">
      <c r="A21" s="33"/>
      <c r="B21" s="35" t="s">
        <v>12</v>
      </c>
      <c r="C21" s="35"/>
      <c r="D21" s="19"/>
      <c r="E21" s="19"/>
      <c r="F21" s="19"/>
      <c r="G21" s="19"/>
      <c r="H21" s="19"/>
      <c r="I21" s="19"/>
    </row>
    <row r="22" spans="1:9" ht="21.75" customHeight="1">
      <c r="A22" s="32" t="s">
        <v>17</v>
      </c>
      <c r="B22" s="18" t="s">
        <v>86</v>
      </c>
      <c r="C22" s="18"/>
      <c r="D22" s="83">
        <f>D24+D25+D26+D27</f>
        <v>0</v>
      </c>
      <c r="E22" s="83">
        <f>E24+E25+E26+E27</f>
        <v>524606</v>
      </c>
      <c r="F22" s="83" t="s">
        <v>53</v>
      </c>
      <c r="G22" s="83">
        <f>G24+G25+G26+G27</f>
        <v>524606</v>
      </c>
      <c r="H22" s="83">
        <f>H24+H25+H26+H27</f>
        <v>0</v>
      </c>
      <c r="I22" s="83">
        <f>I24+I25+I26+I27</f>
        <v>0</v>
      </c>
    </row>
    <row r="23" spans="1:9" ht="21.75" customHeight="1">
      <c r="A23" s="19"/>
      <c r="B23" s="34" t="s">
        <v>6</v>
      </c>
      <c r="C23" s="34"/>
      <c r="D23" s="81"/>
      <c r="E23" s="81"/>
      <c r="F23" s="81"/>
      <c r="G23" s="81"/>
      <c r="H23" s="81"/>
      <c r="I23" s="81"/>
    </row>
    <row r="24" spans="1:9" ht="21.75" customHeight="1">
      <c r="A24" s="19"/>
      <c r="B24" s="35" t="s">
        <v>331</v>
      </c>
      <c r="C24" s="35">
        <v>801</v>
      </c>
      <c r="D24" s="81">
        <v>0</v>
      </c>
      <c r="E24" s="81">
        <v>91858</v>
      </c>
      <c r="F24" s="81" t="s">
        <v>53</v>
      </c>
      <c r="G24" s="81">
        <v>91858</v>
      </c>
      <c r="H24" s="81">
        <v>0</v>
      </c>
      <c r="I24" s="81">
        <v>0</v>
      </c>
    </row>
    <row r="25" spans="1:9" ht="21.75" customHeight="1">
      <c r="A25" s="19"/>
      <c r="B25" s="35" t="s">
        <v>332</v>
      </c>
      <c r="C25" s="35">
        <v>801</v>
      </c>
      <c r="D25" s="81">
        <v>0</v>
      </c>
      <c r="E25" s="81">
        <v>5000</v>
      </c>
      <c r="F25" s="81" t="s">
        <v>53</v>
      </c>
      <c r="G25" s="81">
        <v>5000</v>
      </c>
      <c r="H25" s="81">
        <v>0</v>
      </c>
      <c r="I25" s="81">
        <v>0</v>
      </c>
    </row>
    <row r="26" spans="1:9" ht="21.75" customHeight="1">
      <c r="A26" s="19"/>
      <c r="B26" s="35" t="s">
        <v>333</v>
      </c>
      <c r="C26" s="35">
        <v>801</v>
      </c>
      <c r="D26" s="81">
        <v>0</v>
      </c>
      <c r="E26" s="81">
        <v>18000</v>
      </c>
      <c r="F26" s="81" t="s">
        <v>53</v>
      </c>
      <c r="G26" s="81">
        <v>18000</v>
      </c>
      <c r="H26" s="81">
        <v>0</v>
      </c>
      <c r="I26" s="81">
        <v>0</v>
      </c>
    </row>
    <row r="27" spans="1:9" ht="21.75" customHeight="1">
      <c r="A27" s="20"/>
      <c r="B27" s="36" t="s">
        <v>334</v>
      </c>
      <c r="C27" s="36">
        <v>854</v>
      </c>
      <c r="D27" s="82">
        <v>0</v>
      </c>
      <c r="E27" s="82">
        <v>409748</v>
      </c>
      <c r="F27" s="82" t="s">
        <v>53</v>
      </c>
      <c r="G27" s="82">
        <v>409748</v>
      </c>
      <c r="H27" s="82">
        <v>0</v>
      </c>
      <c r="I27" s="82">
        <v>0</v>
      </c>
    </row>
    <row r="28" spans="1:9" s="58" customFormat="1" ht="21.75" customHeight="1">
      <c r="A28" s="220" t="s">
        <v>136</v>
      </c>
      <c r="B28" s="220"/>
      <c r="C28" s="59"/>
      <c r="D28" s="84">
        <f aca="true" t="shared" si="1" ref="D28:I28">D22+D14</f>
        <v>23250</v>
      </c>
      <c r="E28" s="84">
        <f>E22+E14</f>
        <v>4359794</v>
      </c>
      <c r="F28" s="84">
        <f>F14</f>
        <v>2371266</v>
      </c>
      <c r="G28" s="84">
        <f t="shared" si="1"/>
        <v>4319824</v>
      </c>
      <c r="H28" s="84">
        <f t="shared" si="1"/>
        <v>0</v>
      </c>
      <c r="I28" s="84">
        <f t="shared" si="1"/>
        <v>63220</v>
      </c>
    </row>
    <row r="29" ht="4.5" customHeight="1"/>
    <row r="30" ht="14.25">
      <c r="A30" t="s">
        <v>85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76" t="s">
        <v>456</v>
      </c>
      <c r="F1" s="176"/>
      <c r="G1" s="176"/>
    </row>
    <row r="2" spans="5:7" ht="12.75">
      <c r="E2" s="176"/>
      <c r="F2" s="176"/>
      <c r="G2" s="176"/>
    </row>
    <row r="3" spans="5:7" ht="12.75">
      <c r="E3" s="176"/>
      <c r="F3" s="176"/>
      <c r="G3" s="176"/>
    </row>
    <row r="4" spans="5:7" ht="12.75">
      <c r="E4" s="102"/>
      <c r="F4" s="102"/>
      <c r="G4" s="102"/>
    </row>
    <row r="5" spans="1:6" ht="19.5" customHeight="1">
      <c r="A5" s="213" t="s">
        <v>90</v>
      </c>
      <c r="B5" s="213"/>
      <c r="C5" s="213"/>
      <c r="D5" s="213"/>
      <c r="E5" s="213"/>
      <c r="F5" s="213"/>
    </row>
    <row r="6" spans="4:6" ht="19.5" customHeight="1">
      <c r="D6" s="6"/>
      <c r="E6" s="6"/>
      <c r="F6" s="6"/>
    </row>
    <row r="7" spans="4:6" ht="19.5" customHeight="1">
      <c r="D7" s="1"/>
      <c r="E7" s="1"/>
      <c r="F7" s="11" t="s">
        <v>46</v>
      </c>
    </row>
    <row r="8" spans="1:6" ht="19.5" customHeight="1">
      <c r="A8" s="210" t="s">
        <v>71</v>
      </c>
      <c r="B8" s="210" t="s">
        <v>2</v>
      </c>
      <c r="C8" s="210" t="s">
        <v>3</v>
      </c>
      <c r="D8" s="206" t="s">
        <v>87</v>
      </c>
      <c r="E8" s="206" t="s">
        <v>89</v>
      </c>
      <c r="F8" s="206" t="s">
        <v>47</v>
      </c>
    </row>
    <row r="9" spans="1:6" ht="19.5" customHeight="1">
      <c r="A9" s="210"/>
      <c r="B9" s="210"/>
      <c r="C9" s="210"/>
      <c r="D9" s="206"/>
      <c r="E9" s="206"/>
      <c r="F9" s="206"/>
    </row>
    <row r="10" spans="1:6" ht="19.5" customHeight="1">
      <c r="A10" s="210"/>
      <c r="B10" s="210"/>
      <c r="C10" s="210"/>
      <c r="D10" s="206"/>
      <c r="E10" s="206"/>
      <c r="F10" s="206"/>
    </row>
    <row r="11" spans="1:6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</row>
    <row r="12" spans="1:6" ht="50.25" customHeight="1">
      <c r="A12" s="24" t="s">
        <v>12</v>
      </c>
      <c r="B12" s="21">
        <v>801</v>
      </c>
      <c r="C12" s="21">
        <v>80104</v>
      </c>
      <c r="D12" s="91" t="s">
        <v>433</v>
      </c>
      <c r="E12" s="93" t="s">
        <v>435</v>
      </c>
      <c r="F12" s="100">
        <f>2!H52</f>
        <v>1766227</v>
      </c>
    </row>
    <row r="13" spans="1:6" ht="30" customHeight="1">
      <c r="A13" s="24" t="s">
        <v>13</v>
      </c>
      <c r="B13" s="21">
        <v>926</v>
      </c>
      <c r="C13" s="21">
        <v>92601</v>
      </c>
      <c r="D13" s="91" t="s">
        <v>440</v>
      </c>
      <c r="E13" s="93" t="s">
        <v>444</v>
      </c>
      <c r="F13" s="100">
        <f>2!H89</f>
        <v>325039</v>
      </c>
    </row>
    <row r="14" spans="1:6" ht="30" customHeight="1">
      <c r="A14" s="24" t="s">
        <v>14</v>
      </c>
      <c r="B14" s="21">
        <v>926</v>
      </c>
      <c r="C14" s="21">
        <v>92604</v>
      </c>
      <c r="D14" s="92" t="s">
        <v>431</v>
      </c>
      <c r="E14" s="93" t="s">
        <v>434</v>
      </c>
      <c r="F14" s="100">
        <v>280000</v>
      </c>
    </row>
    <row r="15" spans="1:6" s="1" customFormat="1" ht="30" customHeight="1">
      <c r="A15" s="212" t="s">
        <v>136</v>
      </c>
      <c r="B15" s="212"/>
      <c r="C15" s="212"/>
      <c r="D15" s="212"/>
      <c r="E15" s="24"/>
      <c r="F15" s="84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2007-02-28T07:16:52Z</cp:lastPrinted>
  <dcterms:created xsi:type="dcterms:W3CDTF">1998-12-09T13:02:10Z</dcterms:created>
  <dcterms:modified xsi:type="dcterms:W3CDTF">2007-03-05T07:59:19Z</dcterms:modified>
  <cp:category/>
  <cp:version/>
  <cp:contentType/>
  <cp:contentStatus/>
</cp:coreProperties>
</file>