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firstSheet="2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Titles" localSheetId="0">'1'!$9:$9</definedName>
    <definedName name="_xlnm.Print_Titles" localSheetId="9">'10'!$9:$9</definedName>
    <definedName name="_xlnm.Print_Titles" localSheetId="11">'12'!$12:$12</definedName>
    <definedName name="_xlnm.Print_Titles" localSheetId="1">'2'!$10:$10</definedName>
    <definedName name="_xlnm.Print_Titles" localSheetId="2">'3'!$12:$12</definedName>
    <definedName name="_xlnm.Print_Titles" localSheetId="3">'4'!$13:$13</definedName>
    <definedName name="_xlnm.Print_Titles" localSheetId="5">'6'!$11:$11</definedName>
  </definedNames>
  <calcPr fullCalcOnLoad="1"/>
</workbook>
</file>

<file path=xl/sharedStrings.xml><?xml version="1.0" encoding="utf-8"?>
<sst xmlns="http://schemas.openxmlformats.org/spreadsheetml/2006/main" count="1064" uniqueCount="578">
  <si>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</si>
  <si>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</si>
  <si>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</si>
  <si>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</si>
  <si>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</si>
  <si>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</si>
  <si>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</si>
  <si>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</si>
  <si>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</si>
  <si>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</si>
  <si>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</si>
  <si>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</si>
  <si>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</si>
  <si>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</si>
  <si>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</si>
  <si>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</si>
  <si>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</si>
  <si>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</si>
  <si>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</si>
  <si>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</si>
  <si>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</si>
  <si>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</si>
  <si>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</si>
  <si>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</si>
  <si>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</si>
  <si>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</si>
  <si>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</si>
  <si>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</si>
  <si>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</si>
  <si>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</si>
  <si>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</si>
  <si>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</si>
  <si>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</si>
  <si>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</si>
  <si>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</si>
  <si>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</si>
  <si>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</si>
  <si>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</si>
  <si>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</si>
  <si>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</si>
  <si>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</si>
  <si>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</si>
  <si>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</si>
  <si>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</si>
  <si>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</si>
  <si>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</si>
  <si>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</si>
  <si>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</si>
  <si>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</si>
  <si>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</si>
  <si>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</si>
  <si>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</si>
  <si>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</si>
  <si>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</si>
  <si>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</si>
  <si>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</si>
  <si>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</si>
  <si>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</si>
  <si>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</si>
  <si>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</si>
  <si>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</si>
  <si>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</si>
  <si>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</si>
  <si>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</si>
  <si>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</si>
  <si>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</si>
  <si>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</si>
  <si>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</si>
  <si>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</si>
  <si>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</si>
  <si>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</si>
  <si>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</si>
  <si>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</si>
  <si>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</si>
  <si>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</si>
  <si>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</si>
  <si>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</si>
  <si>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</si>
  <si>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</si>
  <si>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</si>
  <si>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</si>
  <si>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</si>
  <si>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</si>
  <si>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</si>
  <si>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</si>
  <si>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</si>
  <si>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</si>
  <si>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</si>
  <si>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</si>
  <si>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</si>
  <si>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</si>
  <si>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</si>
  <si>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</si>
  <si>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</si>
  <si>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</si>
  <si>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</si>
  <si>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</si>
  <si>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</si>
  <si>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</si>
  <si>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</si>
  <si>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</si>
  <si>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Priorytet: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</si>
  <si>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</si>
  <si>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</si>
  <si>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</si>
  <si>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</si>
  <si>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</si>
  <si>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</si>
  <si>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</si>
  <si>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</si>
  <si>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</si>
  <si>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</si>
  <si>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</si>
  <si>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</si>
  <si>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</si>
  <si>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</si>
  <si>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</si>
  <si>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</si>
  <si>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</si>
  <si>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</si>
  <si>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</si>
  <si>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</si>
  <si>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</si>
  <si>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</si>
  <si>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</si>
  <si>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</si>
  <si>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</si>
  <si>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</si>
  <si>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</si>
  <si>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</si>
  <si>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</si>
  <si>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</si>
  <si>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</si>
  <si>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</si>
  <si>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</si>
  <si>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</si>
  <si>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</si>
  <si>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</si>
  <si>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</si>
  <si>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</si>
  <si>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</si>
  <si>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</si>
  <si>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</si>
  <si>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</si>
  <si>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</si>
  <si>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</si>
  <si>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</si>
  <si>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</si>
  <si>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</si>
  <si>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</si>
  <si>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</si>
  <si>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</si>
  <si>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</si>
  <si>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</si>
  <si>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</si>
  <si>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</si>
  <si>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</si>
  <si>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</si>
  <si>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</si>
  <si>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</si>
  <si>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</si>
  <si>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</si>
  <si>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</si>
  <si>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</si>
  <si>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</si>
  <si>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</si>
  <si>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</si>
  <si>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</si>
  <si>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</si>
  <si>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</si>
  <si>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</si>
  <si>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</si>
  <si>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</si>
  <si>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</si>
  <si>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</si>
  <si>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</si>
  <si>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</si>
  <si>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</si>
  <si>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</si>
  <si>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</si>
  <si>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</si>
  <si>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</si>
  <si>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</si>
  <si>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</si>
  <si>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</si>
  <si>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</si>
  <si>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</si>
  <si>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</si>
  <si>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</si>
  <si>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</si>
  <si>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</si>
  <si>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</si>
  <si>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</si>
  <si>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</si>
  <si>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</si>
  <si>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</si>
  <si>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</si>
  <si>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</si>
  <si>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</si>
  <si>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</si>
  <si>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</si>
  <si>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</si>
  <si>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</si>
  <si>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</si>
  <si>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</si>
  <si>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</si>
  <si>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</si>
  <si>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</si>
  <si>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</si>
  <si>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</si>
  <si>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</si>
  <si>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</si>
  <si>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</si>
  <si>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</si>
  <si>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</si>
  <si>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</si>
  <si>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</si>
  <si>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</si>
  <si>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</si>
  <si>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</si>
  <si>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</si>
  <si>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</si>
  <si>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</si>
  <si>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</si>
  <si>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</si>
  <si>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</si>
  <si>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</si>
  <si>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</si>
  <si>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</si>
  <si>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</si>
  <si>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</si>
  <si>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</si>
  <si>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</si>
  <si>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</si>
  <si>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</si>
  <si>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</si>
  <si>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</si>
  <si>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</si>
  <si>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</si>
  <si>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</si>
  <si>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</si>
  <si>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</si>
  <si>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</si>
  <si>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</si>
  <si>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</si>
  <si>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</si>
  <si>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</si>
  <si>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</si>
  <si>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</si>
  <si>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</si>
  <si>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</si>
  <si>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</si>
  <si>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</si>
  <si>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</si>
  <si>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</si>
  <si>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</si>
  <si>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</si>
  <si>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</si>
  <si>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</si>
  <si>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</si>
  <si>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</si>
  <si>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</si>
  <si>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</si>
  <si>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</si>
  <si>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</si>
  <si>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</si>
  <si>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</si>
  <si>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</si>
  <si>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</si>
  <si>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</si>
  <si>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</si>
  <si>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</si>
  <si>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</si>
  <si>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</si>
  <si>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</si>
  <si>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</si>
  <si>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</si>
  <si>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</si>
  <si>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</si>
  <si>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</si>
  <si>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</si>
  <si>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</si>
  <si>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</si>
  <si>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</si>
  <si>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</si>
  <si>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</si>
  <si>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</si>
  <si>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</si>
  <si>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</si>
  <si>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</si>
  <si>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</si>
  <si>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</si>
  <si>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</si>
  <si>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</si>
  <si>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</si>
  <si>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</si>
  <si>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</si>
  <si>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</si>
  <si>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</si>
  <si>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</si>
  <si>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</si>
  <si>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</si>
  <si>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</si>
  <si>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</si>
  <si>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</si>
  <si>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</si>
  <si>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</si>
  <si>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</si>
  <si>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</si>
  <si>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</si>
  <si>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</si>
  <si>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</si>
  <si>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</si>
  <si>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</si>
  <si>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</si>
  <si>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</si>
  <si>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</si>
  <si>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</si>
  <si>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</si>
  <si>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</si>
  <si>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</si>
  <si>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</si>
  <si>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</si>
  <si>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</si>
  <si>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</si>
  <si>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</si>
  <si>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</si>
  <si>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</si>
  <si>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</si>
  <si>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</si>
  <si>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</si>
  <si>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</si>
  <si>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</si>
  <si>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</si>
  <si>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</si>
  <si>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</si>
  <si>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</si>
  <si>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</si>
  <si>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</si>
  <si>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</si>
  <si>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</si>
  <si>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</si>
  <si>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</si>
  <si>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</si>
  <si>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</si>
  <si>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</si>
  <si>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</si>
  <si>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</si>
  <si>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</si>
  <si>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</si>
  <si>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</si>
  <si>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</si>
  <si>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</si>
  <si>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</si>
  <si>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</si>
  <si>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</si>
  <si>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</si>
  <si>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</si>
  <si>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</si>
  <si>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</si>
  <si>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</si>
  <si>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</si>
  <si>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</si>
  <si>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</si>
  <si>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</si>
  <si>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</si>
  <si>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</si>
  <si>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</si>
  <si>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</si>
  <si>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</si>
  <si>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</si>
  <si>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</si>
  <si>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</si>
  <si>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</si>
  <si>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</si>
  <si>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</si>
  <si>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</si>
  <si>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</si>
  <si>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</si>
  <si>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</si>
  <si>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</si>
  <si>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</si>
  <si>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</si>
  <si>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</si>
  <si>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</si>
  <si>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</si>
  <si>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</si>
  <si>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</si>
  <si>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</si>
  <si>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</si>
  <si>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</si>
  <si>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</si>
  <si>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</si>
  <si>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</si>
  <si>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</si>
  <si>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</si>
  <si>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</si>
  <si>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</si>
  <si>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</si>
  <si>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</si>
  <si>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</si>
  <si>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</si>
  <si>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</si>
  <si>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</si>
  <si>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</si>
  <si>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</si>
  <si>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</si>
  <si>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</si>
  <si>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</si>
  <si>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</si>
  <si>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</si>
  <si>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</si>
  <si>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</si>
  <si>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</si>
  <si>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</si>
  <si>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</si>
  <si>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</si>
  <si>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</si>
  <si>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</si>
  <si>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</si>
  <si>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</si>
  <si>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</si>
  <si>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</si>
  <si>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</si>
  <si>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</si>
  <si>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</si>
  <si>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</si>
  <si>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</si>
  <si>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</si>
  <si>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</si>
  <si>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</si>
  <si>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</si>
  <si>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</si>
  <si>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</si>
  <si>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</si>
  <si>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</si>
  <si>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</si>
  <si>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</si>
  <si>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</si>
  <si>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</si>
  <si>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Spółki wodne</t>
  </si>
  <si>
    <t>Dotacje otrzymane z funduszy celowych na finansowanie lub dofinansowanie kosztów realizacji inwestycji i zakupów inwestycyjnych jednostek sektora finansów publicznych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</si>
  <si>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</si>
  <si>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</si>
  <si>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</si>
  <si>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</si>
  <si>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</si>
  <si>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</si>
  <si>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</si>
  <si>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</si>
  <si>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</si>
  <si>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</si>
  <si>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</si>
  <si>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</si>
  <si>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</si>
  <si>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</si>
  <si>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</si>
  <si>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</si>
  <si>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</si>
  <si>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</si>
  <si>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</si>
  <si>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</si>
  <si>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</si>
  <si>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</si>
  <si>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</si>
  <si>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</si>
  <si>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</si>
  <si>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</si>
  <si>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</si>
  <si>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</si>
  <si>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</si>
  <si>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</si>
  <si>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</si>
  <si>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</si>
  <si>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</si>
  <si>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</si>
  <si>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</si>
  <si>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Zarządzanie kryzysowe</t>
  </si>
  <si>
    <t>Plan dochodów budżetu gminy na 2008 r.</t>
  </si>
  <si>
    <t xml:space="preserve">Załącznik nr 1 do Uchwały Nr ………                          Rady Miejskiej w Pińczowie z dnia …………..      w sprawie uchwalenie budżetu Gminy                               na rok 2008 </t>
  </si>
  <si>
    <t>Plan wydatków budżetu gminy na  2008 r.</t>
  </si>
  <si>
    <t xml:space="preserve">Załącznik nr 2 do Uchwały Nr ………....                           Rady Miejskiej w Pińczowie z dnia …………..                                                        w sprawie uchwalenie budżetu Gminy na rok 2008 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</si>
  <si>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</si>
  <si>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</si>
  <si>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</si>
  <si>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</si>
  <si>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</si>
  <si>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</si>
  <si>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</si>
  <si>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</si>
  <si>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</si>
  <si>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</si>
  <si>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</si>
  <si>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</si>
  <si>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</si>
  <si>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</si>
  <si>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</si>
  <si>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</si>
  <si>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</si>
  <si>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Rozbudowa drogi wojewódzkiej Nr 766 relacji Morawica-Węchadłów na odcinku Brzeście - ulica Batalionów Chlopskich w miejscowości Pińczów 2007-2009</t>
  </si>
  <si>
    <t>Załącznik nr 3 do  Uchwały Nr ……….................. Rady Miejskiej w Pińczowie                                             z dnia ……......……..                                                        w sprawie zmian w budżecie Gminy na rok 2008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</si>
  <si>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</si>
  <si>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</si>
  <si>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</si>
  <si>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</si>
  <si>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</si>
  <si>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</si>
  <si>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</si>
  <si>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</si>
  <si>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5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</si>
  <si>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</si>
  <si>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</si>
  <si>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</si>
  <si>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</si>
  <si>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</si>
  <si>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</si>
  <si>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</si>
  <si>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</si>
  <si>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</si>
  <si>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</si>
  <si>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</si>
  <si>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</si>
  <si>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4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</si>
  <si>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</si>
  <si>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</si>
  <si>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</si>
  <si>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</si>
  <si>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</si>
  <si>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</si>
  <si>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</si>
  <si>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</si>
  <si>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</si>
  <si>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</si>
  <si>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</si>
  <si>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</si>
  <si>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</si>
  <si>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</si>
  <si>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</si>
  <si>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</si>
  <si>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</si>
  <si>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</si>
  <si>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</si>
  <si>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</si>
  <si>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</si>
  <si>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</si>
  <si>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</si>
  <si>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</si>
  <si>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</si>
  <si>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</si>
  <si>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</si>
  <si>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</si>
  <si>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</si>
  <si>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</si>
  <si>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</si>
  <si>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</si>
  <si>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</si>
  <si>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</si>
  <si>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</si>
  <si>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</si>
  <si>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</si>
  <si>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</si>
  <si>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</si>
  <si>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Zakup i montaż kotłów CO do Szkoły Podstawowej Nr 1 i Szkoły Podstawowej w Brześciu</t>
  </si>
  <si>
    <t>Zakup komputera z oprogramowaniemorazurządzenia dodrukowania</t>
  </si>
  <si>
    <t>4. Stołówki szkolne</t>
  </si>
  <si>
    <r>
      <t xml:space="preserve">Program: </t>
    </r>
    <r>
      <rPr>
        <b/>
        <sz val="10"/>
        <rFont val="Times New Roman CE"/>
        <family val="0"/>
      </rPr>
      <t>Uczenie się przez całe życie  Comenius</t>
    </r>
    <r>
      <rPr>
        <sz val="10"/>
        <rFont val="Times New Roman CE"/>
        <family val="1"/>
      </rPr>
      <t xml:space="preserve">     </t>
    </r>
  </si>
  <si>
    <t>Szkoła Podstawowa Nr 1 w Pińczowie</t>
  </si>
  <si>
    <r>
      <t xml:space="preserve">Projekt: </t>
    </r>
    <r>
      <rPr>
        <b/>
        <sz val="10"/>
        <rFont val="Times New Roman CE"/>
        <family val="0"/>
      </rPr>
      <t>Połączmy siły i nauczajmy - użycie metody portfolio od procesu do produktu z temetem "Chronimy nasze ojczyzny"</t>
    </r>
  </si>
  <si>
    <r>
      <t xml:space="preserve">Działanie: </t>
    </r>
    <r>
      <rPr>
        <b/>
        <sz val="10"/>
        <rFont val="Times New Roman CE"/>
        <family val="0"/>
      </rPr>
      <t>Partnerskie Projekty</t>
    </r>
  </si>
  <si>
    <t>Plac zabaw w Gackach</t>
  </si>
  <si>
    <t>Załącznik nr 6 do  Uchwały Nr XXIX/249/08                                                                                             Rady Miejskiej w Pińczowie z dnia 19 listopada 2008 r.                                                       w sprawie zmian w budżecie Gminy na rok 2008</t>
  </si>
  <si>
    <t>Przewodniczący</t>
  </si>
  <si>
    <t>Rady Miejskiej</t>
  </si>
  <si>
    <t>Marek OMASTA</t>
  </si>
  <si>
    <t>Załącznik nr 7 do  Uchwały Nr XXIX/249/08                                                                                              Rady Miejskiej w Pińczowie z dnia 19 listopada 2008 r.                                                        w sprawie zmian w budżecie Gminy na rok 2008</t>
  </si>
  <si>
    <t>Załącznik nr 8 do Uchwały                                            Nr XXIX/249/08    Rady Miejskiej                                         w Pińczowie z dnia 19 listopada 2008 r.                                        w sprawie uchwalenia budżetu Gminy na rok 2008</t>
  </si>
  <si>
    <t xml:space="preserve">Załącznik nr 9 do  Uchwały Nr XXIX/249/08                                                                                              Rady Miejskiej w Pińczowie z dnia 19 listopada 2008 r.                                                       w sprawie zmian w budżecie Gminy na rok 2008                                        </t>
  </si>
  <si>
    <t xml:space="preserve">Załącznik nr 10 do  Uchwały Nr XXIX/249/08                                                                                              Rady Miejskiej w Pińczowie z dnia 19 listopada 2008 r.                                                        w sprawie zmian w budżecie Gminy na rok 2008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</si>
</sst>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6" xfId="0" applyFont="1" applyBorder="1" applyAlignment="1">
      <alignment/>
    </xf>
    <xf numFmtId="0" fontId="34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left" vertical="center" wrapText="1"/>
      <protection/>
    </xf>
    <xf numFmtId="3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left" vertical="center" wrapText="1"/>
      <protection/>
    </xf>
    <xf numFmtId="3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20" borderId="17" xfId="0" applyNumberFormat="1" applyFont="1" applyFill="1" applyBorder="1" applyAlignment="1" applyProtection="1">
      <alignment horizontal="center" vertical="center" wrapText="1"/>
      <protection/>
    </xf>
    <xf numFmtId="0" fontId="43" fillId="21" borderId="17" xfId="0" applyNumberFormat="1" applyFont="1" applyFill="1" applyBorder="1" applyAlignment="1" applyProtection="1">
      <alignment horizontal="center" vertical="center" wrapText="1"/>
      <protection/>
    </xf>
    <xf numFmtId="0" fontId="42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vertical="center"/>
    </xf>
    <xf numFmtId="1" fontId="4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33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47" fillId="0" borderId="10" xfId="0" applyNumberFormat="1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35" fillId="0" borderId="16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4" fillId="0" borderId="14" xfId="0" applyFont="1" applyBorder="1" applyAlignment="1" quotePrefix="1">
      <alignment horizontal="left" vertical="center"/>
    </xf>
    <xf numFmtId="0" fontId="34" fillId="0" borderId="14" xfId="0" applyFont="1" applyBorder="1" applyAlignment="1" quotePrefix="1">
      <alignment horizontal="left" vertical="center" wrapText="1"/>
    </xf>
    <xf numFmtId="0" fontId="35" fillId="0" borderId="14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 indent="2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49" fontId="0" fillId="0" borderId="10" xfId="0" applyNumberFormat="1" applyBorder="1" applyAlignment="1">
      <alignment vertical="center"/>
    </xf>
    <xf numFmtId="0" fontId="4" fillId="20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1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5" fillId="0" borderId="16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219" t="s">
        <v>479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8">
      <c r="A6" s="218" t="s">
        <v>478</v>
      </c>
      <c r="B6" s="218"/>
      <c r="C6" s="218"/>
      <c r="D6" s="218"/>
      <c r="E6" s="218"/>
      <c r="F6" s="218"/>
    </row>
    <row r="8" spans="1:6" s="28" customFormat="1" ht="25.5">
      <c r="A8" s="27" t="s">
        <v>1</v>
      </c>
      <c r="B8" s="27" t="s">
        <v>2</v>
      </c>
      <c r="C8" s="27" t="s">
        <v>3</v>
      </c>
      <c r="D8" s="27" t="s">
        <v>4</v>
      </c>
      <c r="E8" s="27" t="s">
        <v>45</v>
      </c>
      <c r="F8" s="27" t="s">
        <v>46</v>
      </c>
    </row>
    <row r="9" spans="1:6" s="22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5">
      <c r="A10" s="89" t="s">
        <v>171</v>
      </c>
      <c r="B10" s="77"/>
      <c r="C10" s="77"/>
      <c r="D10" s="78" t="s">
        <v>172</v>
      </c>
      <c r="E10" s="79">
        <f>E11</f>
        <v>0</v>
      </c>
      <c r="F10" s="79">
        <f>F11</f>
        <v>300000</v>
      </c>
    </row>
    <row r="11" spans="1:6" ht="15">
      <c r="A11" s="88"/>
      <c r="B11" s="80" t="s">
        <v>173</v>
      </c>
      <c r="C11" s="76"/>
      <c r="D11" s="81" t="s">
        <v>174</v>
      </c>
      <c r="E11" s="82">
        <f>E12</f>
        <v>0</v>
      </c>
      <c r="F11" s="82">
        <f>F12</f>
        <v>300000</v>
      </c>
    </row>
    <row r="12" spans="1:6" ht="33.75">
      <c r="A12" s="90"/>
      <c r="B12" s="83"/>
      <c r="C12" s="84" t="s">
        <v>175</v>
      </c>
      <c r="D12" s="85" t="s">
        <v>176</v>
      </c>
      <c r="E12" s="86">
        <v>0</v>
      </c>
      <c r="F12" s="86">
        <v>300000</v>
      </c>
    </row>
    <row r="13" spans="1:6" ht="15">
      <c r="A13" s="89" t="s">
        <v>177</v>
      </c>
      <c r="B13" s="77"/>
      <c r="C13" s="77"/>
      <c r="D13" s="78" t="s">
        <v>178</v>
      </c>
      <c r="E13" s="79">
        <f>E14</f>
        <v>100000</v>
      </c>
      <c r="F13" s="79">
        <f>F14</f>
        <v>0</v>
      </c>
    </row>
    <row r="14" spans="1:6" ht="15">
      <c r="A14" s="88"/>
      <c r="B14" s="80" t="s">
        <v>179</v>
      </c>
      <c r="C14" s="76"/>
      <c r="D14" s="81" t="s">
        <v>180</v>
      </c>
      <c r="E14" s="82">
        <f>E15+E16</f>
        <v>100000</v>
      </c>
      <c r="F14" s="82">
        <f>F15+F16</f>
        <v>0</v>
      </c>
    </row>
    <row r="15" spans="1:6" ht="15">
      <c r="A15" s="90"/>
      <c r="B15" s="83"/>
      <c r="C15" s="84" t="s">
        <v>181</v>
      </c>
      <c r="D15" s="85" t="s">
        <v>182</v>
      </c>
      <c r="E15" s="86">
        <v>50000</v>
      </c>
      <c r="F15" s="86">
        <v>0</v>
      </c>
    </row>
    <row r="16" spans="1:6" ht="15">
      <c r="A16" s="90"/>
      <c r="B16" s="83"/>
      <c r="C16" s="84" t="s">
        <v>183</v>
      </c>
      <c r="D16" s="85" t="s">
        <v>184</v>
      </c>
      <c r="E16" s="86">
        <v>50000</v>
      </c>
      <c r="F16" s="86">
        <v>0</v>
      </c>
    </row>
    <row r="17" spans="1:6" s="25" customFormat="1" ht="15">
      <c r="A17" s="89" t="s">
        <v>185</v>
      </c>
      <c r="B17" s="77"/>
      <c r="C17" s="77"/>
      <c r="D17" s="78" t="s">
        <v>186</v>
      </c>
      <c r="E17" s="79">
        <f>E18</f>
        <v>134200</v>
      </c>
      <c r="F17" s="79">
        <f>F18</f>
        <v>500000</v>
      </c>
    </row>
    <row r="18" spans="1:6" ht="15">
      <c r="A18" s="88"/>
      <c r="B18" s="80" t="s">
        <v>187</v>
      </c>
      <c r="C18" s="76"/>
      <c r="D18" s="81" t="s">
        <v>188</v>
      </c>
      <c r="E18" s="82">
        <f>E19+E20+E21</f>
        <v>134200</v>
      </c>
      <c r="F18" s="82">
        <f>F19+F20+F21</f>
        <v>500000</v>
      </c>
    </row>
    <row r="19" spans="1:6" ht="22.5">
      <c r="A19" s="90"/>
      <c r="B19" s="83"/>
      <c r="C19" s="84" t="s">
        <v>189</v>
      </c>
      <c r="D19" s="85" t="s">
        <v>190</v>
      </c>
      <c r="E19" s="86">
        <v>80000</v>
      </c>
      <c r="F19" s="86">
        <v>0</v>
      </c>
    </row>
    <row r="20" spans="1:6" ht="45">
      <c r="A20" s="90"/>
      <c r="B20" s="83"/>
      <c r="C20" s="84" t="s">
        <v>191</v>
      </c>
      <c r="D20" s="85" t="s">
        <v>192</v>
      </c>
      <c r="E20" s="86">
        <v>54200</v>
      </c>
      <c r="F20" s="86">
        <v>0</v>
      </c>
    </row>
    <row r="21" spans="1:6" ht="22.5">
      <c r="A21" s="90"/>
      <c r="B21" s="83"/>
      <c r="C21" s="84" t="s">
        <v>193</v>
      </c>
      <c r="D21" s="85" t="s">
        <v>194</v>
      </c>
      <c r="E21" s="86">
        <v>0</v>
      </c>
      <c r="F21" s="86">
        <v>500000</v>
      </c>
    </row>
    <row r="22" spans="1:6" ht="15">
      <c r="A22" s="89" t="s">
        <v>195</v>
      </c>
      <c r="B22" s="77"/>
      <c r="C22" s="77"/>
      <c r="D22" s="78" t="s">
        <v>196</v>
      </c>
      <c r="E22" s="79">
        <f>E23+E25</f>
        <v>179235</v>
      </c>
      <c r="F22" s="79">
        <f>F23+F25</f>
        <v>0</v>
      </c>
    </row>
    <row r="23" spans="1:6" ht="15">
      <c r="A23" s="88"/>
      <c r="B23" s="80" t="s">
        <v>197</v>
      </c>
      <c r="C23" s="76"/>
      <c r="D23" s="81" t="s">
        <v>198</v>
      </c>
      <c r="E23" s="82">
        <f>E24</f>
        <v>119235</v>
      </c>
      <c r="F23" s="82">
        <f>F24</f>
        <v>0</v>
      </c>
    </row>
    <row r="24" spans="1:6" ht="33.75">
      <c r="A24" s="90"/>
      <c r="B24" s="83"/>
      <c r="C24" s="84" t="s">
        <v>199</v>
      </c>
      <c r="D24" s="85" t="s">
        <v>200</v>
      </c>
      <c r="E24" s="86">
        <v>119235</v>
      </c>
      <c r="F24" s="86">
        <v>0</v>
      </c>
    </row>
    <row r="25" spans="1:6" ht="15">
      <c r="A25" s="88"/>
      <c r="B25" s="80" t="s">
        <v>201</v>
      </c>
      <c r="C25" s="76"/>
      <c r="D25" s="81" t="s">
        <v>202</v>
      </c>
      <c r="E25" s="82">
        <f>E26+E27</f>
        <v>60000</v>
      </c>
      <c r="F25" s="82">
        <f>F26+F27</f>
        <v>0</v>
      </c>
    </row>
    <row r="26" spans="1:6" ht="15">
      <c r="A26" s="90"/>
      <c r="B26" s="83"/>
      <c r="C26" s="84" t="s">
        <v>181</v>
      </c>
      <c r="D26" s="85" t="s">
        <v>182</v>
      </c>
      <c r="E26" s="86">
        <v>20000</v>
      </c>
      <c r="F26" s="86">
        <v>0</v>
      </c>
    </row>
    <row r="27" spans="1:6" ht="15">
      <c r="A27" s="90"/>
      <c r="B27" s="83"/>
      <c r="C27" s="84" t="s">
        <v>183</v>
      </c>
      <c r="D27" s="85" t="s">
        <v>184</v>
      </c>
      <c r="E27" s="86">
        <v>40000</v>
      </c>
      <c r="F27" s="86">
        <v>0</v>
      </c>
    </row>
    <row r="28" spans="1:6" ht="22.5">
      <c r="A28" s="89" t="s">
        <v>203</v>
      </c>
      <c r="B28" s="77"/>
      <c r="C28" s="77"/>
      <c r="D28" s="78" t="s">
        <v>204</v>
      </c>
      <c r="E28" s="79">
        <f>E29</f>
        <v>3738</v>
      </c>
      <c r="F28" s="79">
        <f>F29</f>
        <v>0</v>
      </c>
    </row>
    <row r="29" spans="1:6" ht="22.5">
      <c r="A29" s="88"/>
      <c r="B29" s="80" t="s">
        <v>205</v>
      </c>
      <c r="C29" s="76"/>
      <c r="D29" s="81" t="s">
        <v>206</v>
      </c>
      <c r="E29" s="82">
        <f>E30</f>
        <v>3738</v>
      </c>
      <c r="F29" s="82">
        <f>F30</f>
        <v>0</v>
      </c>
    </row>
    <row r="30" spans="1:6" ht="33.75">
      <c r="A30" s="90"/>
      <c r="B30" s="83"/>
      <c r="C30" s="84" t="s">
        <v>199</v>
      </c>
      <c r="D30" s="85" t="s">
        <v>200</v>
      </c>
      <c r="E30" s="86">
        <v>3738</v>
      </c>
      <c r="F30" s="86">
        <v>0</v>
      </c>
    </row>
    <row r="31" spans="1:6" ht="15">
      <c r="A31" s="89" t="s">
        <v>207</v>
      </c>
      <c r="B31" s="77"/>
      <c r="C31" s="77"/>
      <c r="D31" s="78" t="s">
        <v>208</v>
      </c>
      <c r="E31" s="79">
        <f>E32</f>
        <v>15000</v>
      </c>
      <c r="F31" s="79">
        <f>F32</f>
        <v>0</v>
      </c>
    </row>
    <row r="32" spans="1:6" ht="15">
      <c r="A32" s="88"/>
      <c r="B32" s="80" t="s">
        <v>209</v>
      </c>
      <c r="C32" s="76"/>
      <c r="D32" s="81" t="s">
        <v>210</v>
      </c>
      <c r="E32" s="82">
        <f>E33</f>
        <v>15000</v>
      </c>
      <c r="F32" s="82">
        <f>F33</f>
        <v>0</v>
      </c>
    </row>
    <row r="33" spans="1:6" ht="15">
      <c r="A33" s="90"/>
      <c r="B33" s="83"/>
      <c r="C33" s="84" t="s">
        <v>211</v>
      </c>
      <c r="D33" s="85" t="s">
        <v>212</v>
      </c>
      <c r="E33" s="86">
        <v>15000</v>
      </c>
      <c r="F33" s="86">
        <v>0</v>
      </c>
    </row>
    <row r="34" spans="1:6" ht="33.75">
      <c r="A34" s="89" t="s">
        <v>213</v>
      </c>
      <c r="B34" s="77"/>
      <c r="C34" s="77"/>
      <c r="D34" s="78" t="s">
        <v>214</v>
      </c>
      <c r="E34" s="79">
        <f>E35+E37+E55+E59+E61+E46</f>
        <v>21658045</v>
      </c>
      <c r="F34" s="79">
        <f>F35+F37+F55+F59+F61+F46</f>
        <v>0</v>
      </c>
    </row>
    <row r="35" spans="1:6" ht="15">
      <c r="A35" s="88"/>
      <c r="B35" s="80" t="s">
        <v>215</v>
      </c>
      <c r="C35" s="76"/>
      <c r="D35" s="81" t="s">
        <v>216</v>
      </c>
      <c r="E35" s="82">
        <f>E36</f>
        <v>30000</v>
      </c>
      <c r="F35" s="82">
        <f>F36</f>
        <v>0</v>
      </c>
    </row>
    <row r="36" spans="1:6" ht="22.5">
      <c r="A36" s="90"/>
      <c r="B36" s="83"/>
      <c r="C36" s="84" t="s">
        <v>217</v>
      </c>
      <c r="D36" s="85" t="s">
        <v>218</v>
      </c>
      <c r="E36" s="86">
        <v>30000</v>
      </c>
      <c r="F36" s="86">
        <v>0</v>
      </c>
    </row>
    <row r="37" spans="1:6" ht="33.75">
      <c r="A37" s="88"/>
      <c r="B37" s="80" t="s">
        <v>219</v>
      </c>
      <c r="C37" s="76"/>
      <c r="D37" s="81" t="s">
        <v>220</v>
      </c>
      <c r="E37" s="82">
        <f>E38+E39+E40+E41+E42+E43+E44+E45</f>
        <v>8041500</v>
      </c>
      <c r="F37" s="82"/>
    </row>
    <row r="38" spans="1:6" ht="15">
      <c r="A38" s="90"/>
      <c r="B38" s="83"/>
      <c r="C38" s="84" t="s">
        <v>221</v>
      </c>
      <c r="D38" s="85" t="s">
        <v>222</v>
      </c>
      <c r="E38" s="86">
        <v>7500000</v>
      </c>
      <c r="F38" s="86">
        <v>0</v>
      </c>
    </row>
    <row r="39" spans="1:6" ht="15">
      <c r="A39" s="90"/>
      <c r="B39" s="83"/>
      <c r="C39" s="84" t="s">
        <v>223</v>
      </c>
      <c r="D39" s="85" t="s">
        <v>224</v>
      </c>
      <c r="E39" s="86">
        <v>50000</v>
      </c>
      <c r="F39" s="86">
        <v>0</v>
      </c>
    </row>
    <row r="40" spans="1:6" ht="15">
      <c r="A40" s="90"/>
      <c r="B40" s="83"/>
      <c r="C40" s="84" t="s">
        <v>225</v>
      </c>
      <c r="D40" s="85" t="s">
        <v>226</v>
      </c>
      <c r="E40" s="86">
        <v>65000</v>
      </c>
      <c r="F40" s="86">
        <v>0</v>
      </c>
    </row>
    <row r="41" spans="1:6" ht="15">
      <c r="A41" s="90"/>
      <c r="B41" s="83"/>
      <c r="C41" s="84" t="s">
        <v>227</v>
      </c>
      <c r="D41" s="85" t="s">
        <v>228</v>
      </c>
      <c r="E41" s="86">
        <v>170000</v>
      </c>
      <c r="F41" s="86">
        <v>0</v>
      </c>
    </row>
    <row r="42" spans="1:6" ht="15">
      <c r="A42" s="90"/>
      <c r="B42" s="83"/>
      <c r="C42" s="84" t="s">
        <v>229</v>
      </c>
      <c r="D42" s="85" t="s">
        <v>230</v>
      </c>
      <c r="E42" s="86">
        <v>190000</v>
      </c>
      <c r="F42" s="86">
        <v>0</v>
      </c>
    </row>
    <row r="43" spans="1:6" ht="15">
      <c r="A43" s="90"/>
      <c r="B43" s="83"/>
      <c r="C43" s="84" t="s">
        <v>231</v>
      </c>
      <c r="D43" s="85" t="s">
        <v>232</v>
      </c>
      <c r="E43" s="86">
        <v>1500</v>
      </c>
      <c r="F43" s="86">
        <v>0</v>
      </c>
    </row>
    <row r="44" spans="1:6" ht="15">
      <c r="A44" s="90"/>
      <c r="B44" s="83"/>
      <c r="C44" s="84" t="s">
        <v>233</v>
      </c>
      <c r="D44" s="85" t="s">
        <v>234</v>
      </c>
      <c r="E44" s="86">
        <v>50000</v>
      </c>
      <c r="F44" s="86">
        <v>0</v>
      </c>
    </row>
    <row r="45" spans="1:6" ht="15">
      <c r="A45" s="90"/>
      <c r="B45" s="83"/>
      <c r="C45" s="84" t="s">
        <v>235</v>
      </c>
      <c r="D45" s="85" t="s">
        <v>236</v>
      </c>
      <c r="E45" s="86">
        <v>15000</v>
      </c>
      <c r="F45" s="86">
        <v>0</v>
      </c>
    </row>
    <row r="46" spans="1:6" ht="45">
      <c r="A46" s="88"/>
      <c r="B46" s="80" t="s">
        <v>237</v>
      </c>
      <c r="C46" s="76"/>
      <c r="D46" s="81" t="s">
        <v>238</v>
      </c>
      <c r="E46" s="82">
        <f>E47+E48+E49+E50+E51+E52+E53+E54</f>
        <v>3625000</v>
      </c>
      <c r="F46" s="82">
        <f>F47+F48+F49+F50+F51+F52+F53+F54</f>
        <v>0</v>
      </c>
    </row>
    <row r="47" spans="1:6" ht="15">
      <c r="A47" s="90"/>
      <c r="B47" s="83"/>
      <c r="C47" s="84" t="s">
        <v>221</v>
      </c>
      <c r="D47" s="85" t="s">
        <v>222</v>
      </c>
      <c r="E47" s="86">
        <v>1800000</v>
      </c>
      <c r="F47" s="86">
        <v>0</v>
      </c>
    </row>
    <row r="48" spans="1:6" ht="15">
      <c r="A48" s="90"/>
      <c r="B48" s="83"/>
      <c r="C48" s="84" t="s">
        <v>223</v>
      </c>
      <c r="D48" s="85" t="s">
        <v>224</v>
      </c>
      <c r="E48" s="86">
        <v>850000</v>
      </c>
      <c r="F48" s="86">
        <v>0</v>
      </c>
    </row>
    <row r="49" spans="1:6" ht="15">
      <c r="A49" s="90"/>
      <c r="B49" s="83"/>
      <c r="C49" s="84" t="s">
        <v>225</v>
      </c>
      <c r="D49" s="85" t="s">
        <v>226</v>
      </c>
      <c r="E49" s="86">
        <v>8000</v>
      </c>
      <c r="F49" s="86">
        <v>0</v>
      </c>
    </row>
    <row r="50" spans="1:6" ht="15">
      <c r="A50" s="90"/>
      <c r="B50" s="83"/>
      <c r="C50" s="84" t="s">
        <v>227</v>
      </c>
      <c r="D50" s="85" t="s">
        <v>228</v>
      </c>
      <c r="E50" s="86">
        <v>470000</v>
      </c>
      <c r="F50" s="86">
        <v>0</v>
      </c>
    </row>
    <row r="51" spans="1:6" ht="15">
      <c r="A51" s="90"/>
      <c r="B51" s="83"/>
      <c r="C51" s="84" t="s">
        <v>239</v>
      </c>
      <c r="D51" s="85" t="s">
        <v>240</v>
      </c>
      <c r="E51" s="86">
        <v>80000</v>
      </c>
      <c r="F51" s="86">
        <v>0</v>
      </c>
    </row>
    <row r="52" spans="1:6" ht="15">
      <c r="A52" s="90"/>
      <c r="B52" s="83"/>
      <c r="C52" s="84" t="s">
        <v>241</v>
      </c>
      <c r="D52" s="85" t="s">
        <v>242</v>
      </c>
      <c r="E52" s="86">
        <v>7000</v>
      </c>
      <c r="F52" s="86">
        <v>0</v>
      </c>
    </row>
    <row r="53" spans="1:6" ht="15">
      <c r="A53" s="90"/>
      <c r="B53" s="83"/>
      <c r="C53" s="84" t="s">
        <v>233</v>
      </c>
      <c r="D53" s="85" t="s">
        <v>234</v>
      </c>
      <c r="E53" s="86">
        <v>350000</v>
      </c>
      <c r="F53" s="86">
        <v>0</v>
      </c>
    </row>
    <row r="54" spans="1:6" ht="15">
      <c r="A54" s="90"/>
      <c r="B54" s="83"/>
      <c r="C54" s="84" t="s">
        <v>235</v>
      </c>
      <c r="D54" s="85" t="s">
        <v>236</v>
      </c>
      <c r="E54" s="86">
        <v>60000</v>
      </c>
      <c r="F54" s="86">
        <v>0</v>
      </c>
    </row>
    <row r="55" spans="1:6" ht="22.5">
      <c r="A55" s="88"/>
      <c r="B55" s="80" t="s">
        <v>243</v>
      </c>
      <c r="C55" s="76"/>
      <c r="D55" s="81" t="s">
        <v>244</v>
      </c>
      <c r="E55" s="82">
        <f>E56+E57+E58</f>
        <v>1575000</v>
      </c>
      <c r="F55" s="82">
        <f>F56+F57+F58</f>
        <v>0</v>
      </c>
    </row>
    <row r="56" spans="1:6" ht="15">
      <c r="A56" s="90"/>
      <c r="B56" s="83"/>
      <c r="C56" s="84" t="s">
        <v>245</v>
      </c>
      <c r="D56" s="85" t="s">
        <v>246</v>
      </c>
      <c r="E56" s="86">
        <v>425000</v>
      </c>
      <c r="F56" s="86">
        <v>0</v>
      </c>
    </row>
    <row r="57" spans="1:6" ht="15">
      <c r="A57" s="90"/>
      <c r="B57" s="83"/>
      <c r="C57" s="84" t="s">
        <v>247</v>
      </c>
      <c r="D57" s="85" t="s">
        <v>248</v>
      </c>
      <c r="E57" s="86">
        <v>920000</v>
      </c>
      <c r="F57" s="86">
        <v>0</v>
      </c>
    </row>
    <row r="58" spans="1:6" ht="15">
      <c r="A58" s="90"/>
      <c r="B58" s="83"/>
      <c r="C58" s="84" t="s">
        <v>249</v>
      </c>
      <c r="D58" s="85" t="s">
        <v>250</v>
      </c>
      <c r="E58" s="86">
        <v>230000</v>
      </c>
      <c r="F58" s="86">
        <v>0</v>
      </c>
    </row>
    <row r="59" spans="1:6" ht="15">
      <c r="A59" s="88"/>
      <c r="B59" s="80" t="s">
        <v>251</v>
      </c>
      <c r="C59" s="76"/>
      <c r="D59" s="81" t="s">
        <v>252</v>
      </c>
      <c r="E59" s="82">
        <f>E60</f>
        <v>5786</v>
      </c>
      <c r="F59" s="82">
        <f>F60</f>
        <v>0</v>
      </c>
    </row>
    <row r="60" spans="1:6" ht="33.75">
      <c r="A60" s="90"/>
      <c r="B60" s="83"/>
      <c r="C60" s="84" t="s">
        <v>253</v>
      </c>
      <c r="D60" s="85" t="s">
        <v>254</v>
      </c>
      <c r="E60" s="86">
        <v>5786</v>
      </c>
      <c r="F60" s="86">
        <v>0</v>
      </c>
    </row>
    <row r="61" spans="1:6" ht="22.5">
      <c r="A61" s="88"/>
      <c r="B61" s="80" t="s">
        <v>255</v>
      </c>
      <c r="C61" s="76"/>
      <c r="D61" s="81" t="s">
        <v>256</v>
      </c>
      <c r="E61" s="82">
        <f>E62+E63</f>
        <v>8380759</v>
      </c>
      <c r="F61" s="82">
        <f>F62+F63</f>
        <v>0</v>
      </c>
    </row>
    <row r="62" spans="1:6" ht="15">
      <c r="A62" s="90"/>
      <c r="B62" s="83"/>
      <c r="C62" s="84" t="s">
        <v>257</v>
      </c>
      <c r="D62" s="85" t="s">
        <v>258</v>
      </c>
      <c r="E62" s="86">
        <v>7880759</v>
      </c>
      <c r="F62" s="86">
        <v>0</v>
      </c>
    </row>
    <row r="63" spans="1:6" ht="15">
      <c r="A63" s="90"/>
      <c r="B63" s="83"/>
      <c r="C63" s="84" t="s">
        <v>259</v>
      </c>
      <c r="D63" s="85" t="s">
        <v>260</v>
      </c>
      <c r="E63" s="86">
        <v>500000</v>
      </c>
      <c r="F63" s="86">
        <v>0</v>
      </c>
    </row>
    <row r="64" spans="1:6" ht="15">
      <c r="A64" s="89" t="s">
        <v>261</v>
      </c>
      <c r="B64" s="77"/>
      <c r="C64" s="77"/>
      <c r="D64" s="78" t="s">
        <v>262</v>
      </c>
      <c r="E64" s="79">
        <f>E65+E67+E69+E71</f>
        <v>11703946</v>
      </c>
      <c r="F64" s="79">
        <f>F65+F67+F69+F71</f>
        <v>0</v>
      </c>
    </row>
    <row r="65" spans="1:6" ht="22.5">
      <c r="A65" s="88"/>
      <c r="B65" s="80" t="s">
        <v>263</v>
      </c>
      <c r="C65" s="76"/>
      <c r="D65" s="81" t="s">
        <v>264</v>
      </c>
      <c r="E65" s="82">
        <f>E66</f>
        <v>10342079</v>
      </c>
      <c r="F65" s="82">
        <f>F66</f>
        <v>0</v>
      </c>
    </row>
    <row r="66" spans="1:6" ht="15">
      <c r="A66" s="90"/>
      <c r="B66" s="83"/>
      <c r="C66" s="84" t="s">
        <v>265</v>
      </c>
      <c r="D66" s="85" t="s">
        <v>266</v>
      </c>
      <c r="E66" s="86">
        <v>10342079</v>
      </c>
      <c r="F66" s="86">
        <v>0</v>
      </c>
    </row>
    <row r="67" spans="1:6" ht="15">
      <c r="A67" s="88"/>
      <c r="B67" s="80" t="s">
        <v>267</v>
      </c>
      <c r="C67" s="76"/>
      <c r="D67" s="81" t="s">
        <v>268</v>
      </c>
      <c r="E67" s="82">
        <f>E68</f>
        <v>531033</v>
      </c>
      <c r="F67" s="82">
        <f>F68</f>
        <v>0</v>
      </c>
    </row>
    <row r="68" spans="1:6" ht="15">
      <c r="A68" s="90"/>
      <c r="B68" s="83"/>
      <c r="C68" s="84" t="s">
        <v>265</v>
      </c>
      <c r="D68" s="85" t="s">
        <v>266</v>
      </c>
      <c r="E68" s="86">
        <v>531033</v>
      </c>
      <c r="F68" s="86">
        <v>0</v>
      </c>
    </row>
    <row r="69" spans="1:6" ht="15">
      <c r="A69" s="88"/>
      <c r="B69" s="80" t="s">
        <v>269</v>
      </c>
      <c r="C69" s="76"/>
      <c r="D69" s="81" t="s">
        <v>270</v>
      </c>
      <c r="E69" s="82">
        <f>E70</f>
        <v>70000</v>
      </c>
      <c r="F69" s="82">
        <f>F70</f>
        <v>0</v>
      </c>
    </row>
    <row r="70" spans="1:6" ht="15">
      <c r="A70" s="90"/>
      <c r="B70" s="83"/>
      <c r="C70" s="84" t="s">
        <v>271</v>
      </c>
      <c r="D70" s="85" t="s">
        <v>272</v>
      </c>
      <c r="E70" s="86">
        <v>70000</v>
      </c>
      <c r="F70" s="86">
        <v>0</v>
      </c>
    </row>
    <row r="71" spans="1:6" ht="15">
      <c r="A71" s="88"/>
      <c r="B71" s="80" t="s">
        <v>273</v>
      </c>
      <c r="C71" s="76"/>
      <c r="D71" s="81" t="s">
        <v>274</v>
      </c>
      <c r="E71" s="82">
        <f>E72</f>
        <v>760834</v>
      </c>
      <c r="F71" s="82">
        <f>F72</f>
        <v>0</v>
      </c>
    </row>
    <row r="72" spans="1:6" ht="15">
      <c r="A72" s="90"/>
      <c r="B72" s="83"/>
      <c r="C72" s="84" t="s">
        <v>265</v>
      </c>
      <c r="D72" s="85" t="s">
        <v>266</v>
      </c>
      <c r="E72" s="86">
        <v>760834</v>
      </c>
      <c r="F72" s="86">
        <v>0</v>
      </c>
    </row>
    <row r="73" spans="1:6" ht="15">
      <c r="A73" s="89" t="s">
        <v>275</v>
      </c>
      <c r="B73" s="77"/>
      <c r="C73" s="77"/>
      <c r="D73" s="78" t="s">
        <v>276</v>
      </c>
      <c r="E73" s="79">
        <f>E74</f>
        <v>28000</v>
      </c>
      <c r="F73" s="79">
        <f>F74</f>
        <v>100000</v>
      </c>
    </row>
    <row r="74" spans="1:6" ht="15">
      <c r="A74" s="88"/>
      <c r="B74" s="80" t="s">
        <v>277</v>
      </c>
      <c r="C74" s="76"/>
      <c r="D74" s="81" t="s">
        <v>278</v>
      </c>
      <c r="E74" s="82">
        <f>E75+E76</f>
        <v>28000</v>
      </c>
      <c r="F74" s="82">
        <f>F75+F76</f>
        <v>100000</v>
      </c>
    </row>
    <row r="75" spans="1:6" ht="45">
      <c r="A75" s="90"/>
      <c r="B75" s="83"/>
      <c r="C75" s="84" t="s">
        <v>191</v>
      </c>
      <c r="D75" s="85" t="s">
        <v>192</v>
      </c>
      <c r="E75" s="86">
        <v>28000</v>
      </c>
      <c r="F75" s="86">
        <v>0</v>
      </c>
    </row>
    <row r="76" spans="1:6" ht="33.75">
      <c r="A76" s="90"/>
      <c r="B76" s="83"/>
      <c r="C76" s="84">
        <v>6290</v>
      </c>
      <c r="D76" s="85" t="s">
        <v>176</v>
      </c>
      <c r="E76" s="86">
        <v>0</v>
      </c>
      <c r="F76" s="86">
        <v>100000</v>
      </c>
    </row>
    <row r="77" spans="1:6" ht="15">
      <c r="A77" s="89" t="s">
        <v>279</v>
      </c>
      <c r="B77" s="77"/>
      <c r="C77" s="77"/>
      <c r="D77" s="78" t="s">
        <v>280</v>
      </c>
      <c r="E77" s="79">
        <f>E78+E80+E82+E85+E87+E90</f>
        <v>8043812</v>
      </c>
      <c r="F77" s="79">
        <f>F78+F80+F82+F85+F87+F90</f>
        <v>0</v>
      </c>
    </row>
    <row r="78" spans="1:6" ht="33.75">
      <c r="A78" s="88"/>
      <c r="B78" s="80" t="s">
        <v>281</v>
      </c>
      <c r="C78" s="76"/>
      <c r="D78" s="81" t="s">
        <v>282</v>
      </c>
      <c r="E78" s="82">
        <f>E79</f>
        <v>7047970</v>
      </c>
      <c r="F78" s="82">
        <f>F79</f>
        <v>0</v>
      </c>
    </row>
    <row r="79" spans="1:6" ht="33.75">
      <c r="A79" s="90"/>
      <c r="B79" s="83"/>
      <c r="C79" s="84" t="s">
        <v>199</v>
      </c>
      <c r="D79" s="85" t="s">
        <v>200</v>
      </c>
      <c r="E79" s="86">
        <v>7047970</v>
      </c>
      <c r="F79" s="86">
        <v>0</v>
      </c>
    </row>
    <row r="80" spans="1:6" ht="33.75">
      <c r="A80" s="88"/>
      <c r="B80" s="80" t="s">
        <v>283</v>
      </c>
      <c r="C80" s="76"/>
      <c r="D80" s="81" t="s">
        <v>284</v>
      </c>
      <c r="E80" s="82">
        <f>E81</f>
        <v>43274</v>
      </c>
      <c r="F80" s="82">
        <f>F81</f>
        <v>0</v>
      </c>
    </row>
    <row r="81" spans="1:6" ht="33.75">
      <c r="A81" s="90"/>
      <c r="B81" s="83"/>
      <c r="C81" s="84" t="s">
        <v>199</v>
      </c>
      <c r="D81" s="85" t="s">
        <v>200</v>
      </c>
      <c r="E81" s="86">
        <v>43274</v>
      </c>
      <c r="F81" s="86">
        <v>0</v>
      </c>
    </row>
    <row r="82" spans="1:6" ht="22.5">
      <c r="A82" s="88"/>
      <c r="B82" s="80" t="s">
        <v>285</v>
      </c>
      <c r="C82" s="76"/>
      <c r="D82" s="81" t="s">
        <v>286</v>
      </c>
      <c r="E82" s="82">
        <f>E83+E84</f>
        <v>427601</v>
      </c>
      <c r="F82" s="82">
        <f>F83+F84</f>
        <v>0</v>
      </c>
    </row>
    <row r="83" spans="1:6" ht="33.75">
      <c r="A83" s="90"/>
      <c r="B83" s="83"/>
      <c r="C83" s="84" t="s">
        <v>199</v>
      </c>
      <c r="D83" s="85" t="s">
        <v>200</v>
      </c>
      <c r="E83" s="86">
        <v>314885</v>
      </c>
      <c r="F83" s="86">
        <v>0</v>
      </c>
    </row>
    <row r="84" spans="1:6" ht="22.5">
      <c r="A84" s="90"/>
      <c r="B84" s="83"/>
      <c r="C84" s="84" t="s">
        <v>287</v>
      </c>
      <c r="D84" s="85" t="s">
        <v>288</v>
      </c>
      <c r="E84" s="86">
        <v>112716</v>
      </c>
      <c r="F84" s="86">
        <v>0</v>
      </c>
    </row>
    <row r="85" spans="1:6" ht="15">
      <c r="A85" s="88"/>
      <c r="B85" s="80" t="s">
        <v>289</v>
      </c>
      <c r="C85" s="76"/>
      <c r="D85" s="81" t="s">
        <v>290</v>
      </c>
      <c r="E85" s="82">
        <f>E86</f>
        <v>307414</v>
      </c>
      <c r="F85" s="82">
        <f>F86</f>
        <v>0</v>
      </c>
    </row>
    <row r="86" spans="1:6" ht="22.5">
      <c r="A86" s="90"/>
      <c r="B86" s="83"/>
      <c r="C86" s="84" t="s">
        <v>287</v>
      </c>
      <c r="D86" s="85" t="s">
        <v>288</v>
      </c>
      <c r="E86" s="86">
        <v>307414</v>
      </c>
      <c r="F86" s="86">
        <v>0</v>
      </c>
    </row>
    <row r="87" spans="1:6" ht="15">
      <c r="A87" s="88"/>
      <c r="B87" s="80" t="s">
        <v>291</v>
      </c>
      <c r="C87" s="76"/>
      <c r="D87" s="81" t="s">
        <v>292</v>
      </c>
      <c r="E87" s="82">
        <f>E88+E89</f>
        <v>108234</v>
      </c>
      <c r="F87" s="82">
        <f>F88+F89</f>
        <v>0</v>
      </c>
    </row>
    <row r="88" spans="1:6" ht="15">
      <c r="A88" s="90"/>
      <c r="B88" s="83"/>
      <c r="C88" s="84" t="s">
        <v>293</v>
      </c>
      <c r="D88" s="85" t="s">
        <v>294</v>
      </c>
      <c r="E88" s="86">
        <v>60000</v>
      </c>
      <c r="F88" s="86">
        <v>0</v>
      </c>
    </row>
    <row r="89" spans="1:6" ht="33.75">
      <c r="A89" s="90"/>
      <c r="B89" s="83"/>
      <c r="C89" s="84" t="s">
        <v>199</v>
      </c>
      <c r="D89" s="85" t="s">
        <v>200</v>
      </c>
      <c r="E89" s="86">
        <v>48234</v>
      </c>
      <c r="F89" s="86">
        <v>0</v>
      </c>
    </row>
    <row r="90" spans="1:6" ht="15">
      <c r="A90" s="88"/>
      <c r="B90" s="80" t="s">
        <v>295</v>
      </c>
      <c r="C90" s="76"/>
      <c r="D90" s="81" t="s">
        <v>202</v>
      </c>
      <c r="E90" s="82">
        <f>E91</f>
        <v>109319</v>
      </c>
      <c r="F90" s="82">
        <f>F91</f>
        <v>0</v>
      </c>
    </row>
    <row r="91" spans="1:6" ht="22.5">
      <c r="A91" s="90"/>
      <c r="B91" s="83"/>
      <c r="C91" s="84" t="s">
        <v>287</v>
      </c>
      <c r="D91" s="85" t="s">
        <v>288</v>
      </c>
      <c r="E91" s="86">
        <v>109319</v>
      </c>
      <c r="F91" s="86">
        <v>0</v>
      </c>
    </row>
    <row r="92" spans="1:6" ht="19.5" customHeight="1">
      <c r="A92" s="130">
        <v>900</v>
      </c>
      <c r="B92" s="130"/>
      <c r="C92" s="130"/>
      <c r="D92" s="78" t="s">
        <v>367</v>
      </c>
      <c r="E92" s="79">
        <f>E93</f>
        <v>0</v>
      </c>
      <c r="F92" s="79">
        <f>F93</f>
        <v>300000</v>
      </c>
    </row>
    <row r="93" spans="1:6" ht="17.25" customHeight="1">
      <c r="A93" s="80"/>
      <c r="B93" s="80">
        <v>90095</v>
      </c>
      <c r="C93" s="80"/>
      <c r="D93" s="81" t="s">
        <v>202</v>
      </c>
      <c r="E93" s="82">
        <f>E94</f>
        <v>0</v>
      </c>
      <c r="F93" s="82">
        <f>F94</f>
        <v>300000</v>
      </c>
    </row>
    <row r="94" spans="1:6" ht="33.75">
      <c r="A94" s="83"/>
      <c r="B94" s="83"/>
      <c r="C94" s="84">
        <v>6260</v>
      </c>
      <c r="D94" s="85" t="s">
        <v>441</v>
      </c>
      <c r="E94" s="86">
        <v>0</v>
      </c>
      <c r="F94" s="86">
        <v>300000</v>
      </c>
    </row>
    <row r="95" spans="1:6" ht="15.75">
      <c r="A95" s="217" t="s">
        <v>296</v>
      </c>
      <c r="B95" s="217"/>
      <c r="C95" s="217"/>
      <c r="D95" s="217"/>
      <c r="E95" s="87">
        <f>E77+E73+E64+E34+E31+E28+E22+E17+E13+E10</f>
        <v>41865976</v>
      </c>
      <c r="F95" s="87">
        <f>F77+F73+F64+F34+F31+F28+F22+F17+F13+F10+F92</f>
        <v>1200000</v>
      </c>
    </row>
    <row r="96" ht="12.75">
      <c r="F96" s="147">
        <f>E95+F95</f>
        <v>43065976</v>
      </c>
    </row>
  </sheetData>
  <sheetProtection/>
  <mergeCells count="3">
    <mergeCell ref="A95:D95"/>
    <mergeCell ref="A6:F6"/>
    <mergeCell ref="E1:F4"/>
  </mergeCells>
  <printOptions horizontalCentered="1"/>
  <pageMargins left="0.26" right="0.34" top="0.59" bottom="0.5905511811023623" header="0.33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6">
      <selection activeCell="F26" sqref="F2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219" t="s">
        <v>577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48.75" customHeight="1">
      <c r="A6" s="205" t="s">
        <v>488</v>
      </c>
      <c r="B6" s="205"/>
      <c r="C6" s="205"/>
      <c r="D6" s="205"/>
      <c r="E6" s="205"/>
      <c r="F6" s="205"/>
    </row>
    <row r="7" spans="4:5" ht="19.5" customHeight="1">
      <c r="D7" s="1"/>
      <c r="E7" s="5" t="s">
        <v>14</v>
      </c>
    </row>
    <row r="8" spans="1:6" ht="19.5" customHeight="1">
      <c r="A8" s="31" t="s">
        <v>18</v>
      </c>
      <c r="B8" s="31" t="s">
        <v>1</v>
      </c>
      <c r="C8" s="31" t="s">
        <v>2</v>
      </c>
      <c r="D8" s="31" t="s">
        <v>67</v>
      </c>
      <c r="E8" s="31" t="s">
        <v>170</v>
      </c>
      <c r="F8" s="31" t="s">
        <v>114</v>
      </c>
    </row>
    <row r="9" spans="1:6" s="73" customFormat="1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5</v>
      </c>
    </row>
    <row r="10" spans="1:6" s="153" customFormat="1" ht="16.5" customHeight="1">
      <c r="A10" s="68">
        <v>1</v>
      </c>
      <c r="B10" s="154" t="s">
        <v>171</v>
      </c>
      <c r="C10" s="154" t="s">
        <v>472</v>
      </c>
      <c r="D10" s="138" t="s">
        <v>496</v>
      </c>
      <c r="E10" s="68" t="s">
        <v>497</v>
      </c>
      <c r="F10" s="137">
        <v>100000</v>
      </c>
    </row>
    <row r="11" spans="1:6" s="153" customFormat="1" ht="51.75" customHeight="1">
      <c r="A11" s="68">
        <v>2</v>
      </c>
      <c r="B11" s="154" t="s">
        <v>171</v>
      </c>
      <c r="C11" s="154" t="s">
        <v>472</v>
      </c>
      <c r="D11" s="138" t="s">
        <v>498</v>
      </c>
      <c r="E11" s="68" t="s">
        <v>497</v>
      </c>
      <c r="F11" s="137">
        <v>200000</v>
      </c>
    </row>
    <row r="12" spans="1:6" s="153" customFormat="1" ht="51.75" customHeight="1">
      <c r="A12" s="68">
        <v>3</v>
      </c>
      <c r="B12" s="154" t="s">
        <v>177</v>
      </c>
      <c r="C12" s="154" t="s">
        <v>304</v>
      </c>
      <c r="D12" s="138" t="s">
        <v>512</v>
      </c>
      <c r="E12" s="68" t="s">
        <v>527</v>
      </c>
      <c r="F12" s="137">
        <v>40000</v>
      </c>
    </row>
    <row r="13" spans="1:6" s="153" customFormat="1" ht="51.75" customHeight="1">
      <c r="A13" s="68">
        <v>4</v>
      </c>
      <c r="B13" s="154" t="s">
        <v>177</v>
      </c>
      <c r="C13" s="154" t="s">
        <v>537</v>
      </c>
      <c r="D13" s="138" t="s">
        <v>550</v>
      </c>
      <c r="E13" s="68" t="s">
        <v>538</v>
      </c>
      <c r="F13" s="137">
        <v>100000</v>
      </c>
    </row>
    <row r="14" spans="1:6" s="153" customFormat="1" ht="51.75" customHeight="1">
      <c r="A14" s="68">
        <v>5</v>
      </c>
      <c r="B14" s="154" t="s">
        <v>177</v>
      </c>
      <c r="C14" s="154" t="s">
        <v>537</v>
      </c>
      <c r="D14" s="138" t="s">
        <v>551</v>
      </c>
      <c r="E14" s="68" t="s">
        <v>538</v>
      </c>
      <c r="F14" s="137">
        <v>20000</v>
      </c>
    </row>
    <row r="15" spans="1:6" ht="43.5" customHeight="1">
      <c r="A15" s="68">
        <v>6</v>
      </c>
      <c r="B15" s="68">
        <v>851</v>
      </c>
      <c r="C15" s="68">
        <v>85121</v>
      </c>
      <c r="D15" s="136" t="s">
        <v>510</v>
      </c>
      <c r="E15" s="150" t="s">
        <v>453</v>
      </c>
      <c r="F15" s="137">
        <v>40000</v>
      </c>
    </row>
    <row r="16" spans="1:6" ht="55.5" customHeight="1">
      <c r="A16" s="68">
        <v>7</v>
      </c>
      <c r="B16" s="68">
        <v>851</v>
      </c>
      <c r="C16" s="68">
        <v>85154</v>
      </c>
      <c r="D16" s="138" t="s">
        <v>456</v>
      </c>
      <c r="E16" s="68" t="s">
        <v>458</v>
      </c>
      <c r="F16" s="137">
        <v>45000</v>
      </c>
    </row>
    <row r="17" spans="1:6" ht="94.5" customHeight="1">
      <c r="A17" s="68">
        <v>8</v>
      </c>
      <c r="B17" s="68">
        <v>851</v>
      </c>
      <c r="C17" s="68">
        <v>85154</v>
      </c>
      <c r="D17" s="138" t="s">
        <v>457</v>
      </c>
      <c r="E17" s="68" t="s">
        <v>458</v>
      </c>
      <c r="F17" s="137">
        <v>10000</v>
      </c>
    </row>
    <row r="18" spans="1:6" ht="58.5" customHeight="1">
      <c r="A18" s="68">
        <v>9</v>
      </c>
      <c r="B18" s="68">
        <v>926</v>
      </c>
      <c r="C18" s="68">
        <v>92604</v>
      </c>
      <c r="D18" s="136" t="s">
        <v>474</v>
      </c>
      <c r="E18" s="68" t="s">
        <v>458</v>
      </c>
      <c r="F18" s="137">
        <v>130000</v>
      </c>
    </row>
    <row r="19" spans="1:6" ht="48.75" customHeight="1">
      <c r="A19" s="68">
        <v>10</v>
      </c>
      <c r="B19" s="68">
        <v>926</v>
      </c>
      <c r="C19" s="68">
        <v>92604</v>
      </c>
      <c r="D19" s="136" t="s">
        <v>535</v>
      </c>
      <c r="E19" s="150" t="s">
        <v>450</v>
      </c>
      <c r="F19" s="137">
        <v>20000</v>
      </c>
    </row>
    <row r="20" spans="1:6" ht="49.5" customHeight="1">
      <c r="A20" s="68">
        <v>11</v>
      </c>
      <c r="B20" s="68">
        <v>926</v>
      </c>
      <c r="C20" s="68">
        <v>92604</v>
      </c>
      <c r="D20" s="136" t="s">
        <v>533</v>
      </c>
      <c r="E20" s="150" t="s">
        <v>450</v>
      </c>
      <c r="F20" s="137">
        <v>45000</v>
      </c>
    </row>
    <row r="21" spans="1:6" ht="30" customHeight="1">
      <c r="A21" s="209" t="s">
        <v>40</v>
      </c>
      <c r="B21" s="209"/>
      <c r="C21" s="209"/>
      <c r="D21" s="209"/>
      <c r="E21" s="60"/>
      <c r="F21" s="134">
        <f>F18+F17+F16+F11+F10+F15+F19+F12+F20+F13+F14</f>
        <v>750000</v>
      </c>
    </row>
    <row r="23" s="74" customFormat="1" ht="12.75">
      <c r="F23" s="74" t="s">
        <v>571</v>
      </c>
    </row>
    <row r="24" s="75" customFormat="1" ht="12.75">
      <c r="F24" s="198" t="s">
        <v>572</v>
      </c>
    </row>
    <row r="26" ht="12.75">
      <c r="F26" t="s">
        <v>573</v>
      </c>
    </row>
    <row r="27" ht="12.75">
      <c r="F27" s="151"/>
    </row>
  </sheetData>
  <mergeCells count="3">
    <mergeCell ref="A21:D21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H65" sqref="H6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220" t="s">
        <v>553</v>
      </c>
      <c r="D1" s="220"/>
    </row>
    <row r="2" spans="3:4" ht="12.75">
      <c r="C2" s="220"/>
      <c r="D2" s="220"/>
    </row>
    <row r="3" spans="3:4" ht="12.75">
      <c r="C3" s="220"/>
      <c r="D3" s="220"/>
    </row>
    <row r="4" spans="3:4" ht="12.75">
      <c r="C4" s="220"/>
      <c r="D4" s="220"/>
    </row>
    <row r="5" spans="3:4" ht="12.75">
      <c r="C5" s="220"/>
      <c r="D5" s="220"/>
    </row>
    <row r="6" spans="3:4" ht="12.75">
      <c r="C6" s="220"/>
      <c r="D6" s="220"/>
    </row>
    <row r="7" spans="3:4" ht="12.75">
      <c r="C7" s="148"/>
      <c r="D7" s="148"/>
    </row>
    <row r="8" spans="1:10" ht="19.5" customHeight="1">
      <c r="A8" s="222" t="s">
        <v>54</v>
      </c>
      <c r="B8" s="222"/>
      <c r="C8" s="222"/>
      <c r="D8" s="222"/>
      <c r="E8" s="29"/>
      <c r="F8" s="29"/>
      <c r="G8" s="29"/>
      <c r="H8" s="29"/>
      <c r="I8" s="29"/>
      <c r="J8" s="29"/>
    </row>
    <row r="9" spans="1:7" ht="19.5" customHeight="1">
      <c r="A9" s="222" t="s">
        <v>55</v>
      </c>
      <c r="B9" s="222"/>
      <c r="C9" s="222"/>
      <c r="D9" s="222"/>
      <c r="E9" s="29"/>
      <c r="F9" s="29"/>
      <c r="G9" s="29"/>
    </row>
    <row r="11" ht="12.75">
      <c r="C11" s="5" t="s">
        <v>14</v>
      </c>
    </row>
    <row r="12" spans="1:10" ht="19.5" customHeight="1">
      <c r="A12" s="31" t="s">
        <v>18</v>
      </c>
      <c r="B12" s="31" t="s">
        <v>56</v>
      </c>
      <c r="C12" s="31" t="s">
        <v>65</v>
      </c>
      <c r="D12" s="33"/>
      <c r="E12" s="33"/>
      <c r="F12" s="33"/>
      <c r="G12" s="33"/>
      <c r="H12" s="33"/>
      <c r="I12" s="34"/>
      <c r="J12" s="34"/>
    </row>
    <row r="13" spans="1:10" ht="19.5" customHeight="1">
      <c r="A13" s="35" t="s">
        <v>57</v>
      </c>
      <c r="B13" s="30" t="s">
        <v>58</v>
      </c>
      <c r="C13" s="139">
        <v>169630</v>
      </c>
      <c r="D13" s="33"/>
      <c r="E13" s="33"/>
      <c r="F13" s="33"/>
      <c r="G13" s="33"/>
      <c r="H13" s="33"/>
      <c r="I13" s="34"/>
      <c r="J13" s="34"/>
    </row>
    <row r="14" spans="1:10" ht="19.5" customHeight="1">
      <c r="A14" s="35" t="s">
        <v>59</v>
      </c>
      <c r="B14" s="30" t="s">
        <v>60</v>
      </c>
      <c r="C14" s="139">
        <f>C15+C16+C18+C17</f>
        <v>220526</v>
      </c>
      <c r="D14" s="33"/>
      <c r="E14" s="33"/>
      <c r="F14" s="33"/>
      <c r="G14" s="33"/>
      <c r="H14" s="33"/>
      <c r="I14" s="34"/>
      <c r="J14" s="34"/>
    </row>
    <row r="15" spans="1:10" ht="19.5" customHeight="1">
      <c r="A15" s="140">
        <v>1</v>
      </c>
      <c r="B15" s="142" t="s">
        <v>459</v>
      </c>
      <c r="C15" s="141">
        <v>1000</v>
      </c>
      <c r="D15" s="33"/>
      <c r="E15" s="33"/>
      <c r="F15" s="33"/>
      <c r="G15" s="33"/>
      <c r="H15" s="33"/>
      <c r="I15" s="34"/>
      <c r="J15" s="34"/>
    </row>
    <row r="16" spans="1:10" ht="27" customHeight="1">
      <c r="A16" s="140">
        <v>2</v>
      </c>
      <c r="B16" s="138" t="s">
        <v>460</v>
      </c>
      <c r="C16" s="141">
        <v>3000</v>
      </c>
      <c r="D16" s="33"/>
      <c r="E16" s="33"/>
      <c r="F16" s="33"/>
      <c r="G16" s="33"/>
      <c r="H16" s="33"/>
      <c r="I16" s="34"/>
      <c r="J16" s="34"/>
    </row>
    <row r="17" spans="1:10" ht="19.5" customHeight="1">
      <c r="A17" s="140">
        <v>3</v>
      </c>
      <c r="B17" s="142" t="s">
        <v>461</v>
      </c>
      <c r="C17" s="141">
        <f>168000+45526</f>
        <v>213526</v>
      </c>
      <c r="D17" s="33"/>
      <c r="E17" s="33"/>
      <c r="F17" s="33"/>
      <c r="G17" s="33"/>
      <c r="H17" s="33"/>
      <c r="I17" s="34"/>
      <c r="J17" s="34"/>
    </row>
    <row r="18" spans="1:10" ht="19.5" customHeight="1">
      <c r="A18" s="140">
        <v>4</v>
      </c>
      <c r="B18" s="142" t="s">
        <v>462</v>
      </c>
      <c r="C18" s="141">
        <v>3000</v>
      </c>
      <c r="D18" s="33"/>
      <c r="E18" s="33"/>
      <c r="F18" s="33"/>
      <c r="G18" s="33"/>
      <c r="H18" s="33"/>
      <c r="I18" s="34"/>
      <c r="J18" s="34"/>
    </row>
    <row r="19" spans="1:10" ht="19.5" customHeight="1">
      <c r="A19" s="35" t="s">
        <v>61</v>
      </c>
      <c r="B19" s="30" t="s">
        <v>62</v>
      </c>
      <c r="C19" s="139">
        <f>C20+C26</f>
        <v>374156</v>
      </c>
      <c r="D19" s="171"/>
      <c r="E19" s="33"/>
      <c r="F19" s="33"/>
      <c r="G19" s="33"/>
      <c r="H19" s="33"/>
      <c r="I19" s="34"/>
      <c r="J19" s="34"/>
    </row>
    <row r="20" spans="1:10" ht="19.5" customHeight="1">
      <c r="A20" s="26" t="s">
        <v>6</v>
      </c>
      <c r="B20" s="143" t="s">
        <v>11</v>
      </c>
      <c r="C20" s="134">
        <f>C21+C22+C25+C24+C23</f>
        <v>165600</v>
      </c>
      <c r="D20" s="33"/>
      <c r="E20" s="33"/>
      <c r="F20" s="33"/>
      <c r="G20" s="33"/>
      <c r="H20" s="33"/>
      <c r="I20" s="34"/>
      <c r="J20" s="34"/>
    </row>
    <row r="21" spans="1:10" ht="17.25" customHeight="1">
      <c r="A21" s="68">
        <v>1</v>
      </c>
      <c r="B21" s="142" t="s">
        <v>476</v>
      </c>
      <c r="C21" s="137">
        <v>10000</v>
      </c>
      <c r="D21" s="33"/>
      <c r="E21" s="33"/>
      <c r="F21" s="33"/>
      <c r="G21" s="33"/>
      <c r="H21" s="33"/>
      <c r="I21" s="34"/>
      <c r="J21" s="34"/>
    </row>
    <row r="22" spans="1:10" ht="15" customHeight="1">
      <c r="A22" s="68">
        <v>2</v>
      </c>
      <c r="B22" s="142" t="s">
        <v>463</v>
      </c>
      <c r="C22" s="137">
        <f>53600-1202+2500</f>
        <v>54898</v>
      </c>
      <c r="D22" s="33"/>
      <c r="E22" s="33"/>
      <c r="F22" s="33"/>
      <c r="G22" s="33"/>
      <c r="H22" s="33"/>
      <c r="I22" s="34"/>
      <c r="J22" s="34"/>
    </row>
    <row r="23" spans="1:10" ht="15" customHeight="1">
      <c r="A23" s="68">
        <v>3</v>
      </c>
      <c r="B23" s="142" t="s">
        <v>546</v>
      </c>
      <c r="C23" s="137">
        <v>1202</v>
      </c>
      <c r="D23" s="33"/>
      <c r="E23" s="33"/>
      <c r="F23" s="33"/>
      <c r="G23" s="33"/>
      <c r="H23" s="33"/>
      <c r="I23" s="34"/>
      <c r="J23" s="34"/>
    </row>
    <row r="24" spans="1:10" ht="15" customHeight="1">
      <c r="A24" s="68">
        <v>4</v>
      </c>
      <c r="B24" s="142" t="s">
        <v>523</v>
      </c>
      <c r="C24" s="137">
        <f>12000+9000</f>
        <v>21000</v>
      </c>
      <c r="D24" s="33"/>
      <c r="E24" s="33"/>
      <c r="F24" s="33"/>
      <c r="G24" s="33"/>
      <c r="H24" s="33"/>
      <c r="I24" s="34"/>
      <c r="J24" s="34"/>
    </row>
    <row r="25" spans="1:10" ht="15" customHeight="1">
      <c r="A25" s="68">
        <v>5</v>
      </c>
      <c r="B25" s="142" t="s">
        <v>464</v>
      </c>
      <c r="C25" s="137">
        <f>81000-2500</f>
        <v>78500</v>
      </c>
      <c r="D25" s="33"/>
      <c r="E25" s="33"/>
      <c r="F25" s="33"/>
      <c r="G25" s="33"/>
      <c r="H25" s="33"/>
      <c r="I25" s="34"/>
      <c r="J25" s="34"/>
    </row>
    <row r="26" spans="1:10" ht="19.5" customHeight="1">
      <c r="A26" s="26" t="s">
        <v>7</v>
      </c>
      <c r="B26" s="143" t="s">
        <v>12</v>
      </c>
      <c r="C26" s="134">
        <f>C27</f>
        <v>208556</v>
      </c>
      <c r="D26" s="33"/>
      <c r="E26" s="33"/>
      <c r="F26" s="33"/>
      <c r="G26" s="33"/>
      <c r="H26" s="33"/>
      <c r="I26" s="34"/>
      <c r="J26" s="34"/>
    </row>
    <row r="27" spans="1:10" ht="15">
      <c r="A27" s="68">
        <v>1</v>
      </c>
      <c r="B27" s="138" t="s">
        <v>465</v>
      </c>
      <c r="C27" s="137">
        <f>217556-9000</f>
        <v>208556</v>
      </c>
      <c r="D27" s="171"/>
      <c r="E27" s="33"/>
      <c r="F27" s="33"/>
      <c r="G27" s="33"/>
      <c r="H27" s="33"/>
      <c r="I27" s="34"/>
      <c r="J27" s="34"/>
    </row>
    <row r="28" spans="1:10" ht="15" customHeight="1">
      <c r="A28" s="35" t="s">
        <v>63</v>
      </c>
      <c r="B28" s="30" t="s">
        <v>64</v>
      </c>
      <c r="C28" s="139">
        <f>C13+C14-C19</f>
        <v>16000</v>
      </c>
      <c r="D28" s="33"/>
      <c r="E28" s="33"/>
      <c r="F28" s="33"/>
      <c r="G28" s="33"/>
      <c r="H28" s="33"/>
      <c r="I28" s="34"/>
      <c r="J28" s="34"/>
    </row>
    <row r="29" spans="1:10" ht="15">
      <c r="A29" s="33"/>
      <c r="B29" s="33"/>
      <c r="C29" s="33"/>
      <c r="D29" s="33"/>
      <c r="E29" s="33"/>
      <c r="F29" s="33"/>
      <c r="G29" s="33"/>
      <c r="H29" s="33"/>
      <c r="I29" s="34"/>
      <c r="J29" s="34"/>
    </row>
    <row r="30" spans="1:10" ht="15">
      <c r="A30" s="33"/>
      <c r="B30" s="33"/>
      <c r="C30" s="171"/>
      <c r="D30" s="33"/>
      <c r="E30" s="33"/>
      <c r="F30" s="33"/>
      <c r="G30" s="33"/>
      <c r="H30" s="33"/>
      <c r="I30" s="34"/>
      <c r="J30" s="34"/>
    </row>
    <row r="31" spans="1:10" ht="15">
      <c r="A31" s="33"/>
      <c r="B31" s="33"/>
      <c r="C31" s="33"/>
      <c r="D31" s="33"/>
      <c r="E31" s="33"/>
      <c r="F31" s="33"/>
      <c r="G31" s="33"/>
      <c r="H31" s="33"/>
      <c r="I31" s="34"/>
      <c r="J31" s="34"/>
    </row>
    <row r="32" spans="1:10" ht="15">
      <c r="A32" s="33"/>
      <c r="B32" s="33"/>
      <c r="C32" s="33"/>
      <c r="D32" s="33"/>
      <c r="E32" s="33"/>
      <c r="F32" s="33"/>
      <c r="G32" s="33"/>
      <c r="H32" s="33"/>
      <c r="I32" s="34"/>
      <c r="J32" s="34"/>
    </row>
    <row r="33" spans="1:10" ht="15">
      <c r="A33" s="33"/>
      <c r="B33" s="33"/>
      <c r="C33" s="33"/>
      <c r="D33" s="33"/>
      <c r="E33" s="33"/>
      <c r="F33" s="33"/>
      <c r="G33" s="33"/>
      <c r="H33" s="33"/>
      <c r="I33" s="34"/>
      <c r="J33" s="34"/>
    </row>
    <row r="34" spans="1:10" ht="15">
      <c r="A34" s="33"/>
      <c r="B34" s="33"/>
      <c r="C34" s="33"/>
      <c r="D34" s="33"/>
      <c r="E34" s="33"/>
      <c r="F34" s="33"/>
      <c r="G34" s="33"/>
      <c r="H34" s="33"/>
      <c r="I34" s="34"/>
      <c r="J34" s="34"/>
    </row>
    <row r="35" spans="1:10" ht="1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">
      <c r="A38" s="34"/>
      <c r="B38" s="34"/>
      <c r="C38" s="34"/>
      <c r="D38" s="34"/>
      <c r="E38" s="34"/>
      <c r="F38" s="34"/>
      <c r="G38" s="34"/>
      <c r="H38" s="34"/>
      <c r="I38" s="34"/>
      <c r="J38" s="34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workbookViewId="0" topLeftCell="G1">
      <selection activeCell="G28" sqref="G28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42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219" t="s">
        <v>554</v>
      </c>
      <c r="J1" s="219"/>
      <c r="K1" s="219"/>
      <c r="L1" s="219"/>
      <c r="M1" s="219"/>
    </row>
    <row r="2" spans="9:13" ht="12.75" customHeight="1">
      <c r="I2" s="219"/>
      <c r="J2" s="219"/>
      <c r="K2" s="219"/>
      <c r="L2" s="219"/>
      <c r="M2" s="219"/>
    </row>
    <row r="3" spans="9:13" ht="12.75">
      <c r="I3" s="219"/>
      <c r="J3" s="219"/>
      <c r="K3" s="219"/>
      <c r="L3" s="219"/>
      <c r="M3" s="219"/>
    </row>
    <row r="4" spans="9:13" ht="12.75">
      <c r="I4" s="152"/>
      <c r="J4" s="152"/>
      <c r="K4" s="152"/>
      <c r="L4" s="152"/>
      <c r="M4" s="152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spans="1:13" ht="45" customHeight="1">
      <c r="A6" s="212" t="s">
        <v>66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32"/>
    </row>
    <row r="8" ht="12.75">
      <c r="M8" s="24" t="s">
        <v>14</v>
      </c>
    </row>
    <row r="9" spans="1:82" ht="20.25" customHeight="1">
      <c r="A9" s="207" t="s">
        <v>67</v>
      </c>
      <c r="B9" s="244" t="s">
        <v>1</v>
      </c>
      <c r="C9" s="215" t="s">
        <v>2</v>
      </c>
      <c r="D9" s="242" t="s">
        <v>68</v>
      </c>
      <c r="E9" s="248" t="s">
        <v>3</v>
      </c>
      <c r="F9" s="242" t="s">
        <v>35</v>
      </c>
      <c r="G9" s="242" t="s">
        <v>23</v>
      </c>
      <c r="H9" s="242"/>
      <c r="I9" s="242"/>
      <c r="J9" s="242"/>
      <c r="K9" s="242"/>
      <c r="L9" s="242"/>
      <c r="M9" s="242"/>
      <c r="CA9" s="1"/>
      <c r="CB9" s="1"/>
      <c r="CC9" s="1"/>
      <c r="CD9" s="1"/>
    </row>
    <row r="10" spans="1:82" ht="18" customHeight="1">
      <c r="A10" s="246"/>
      <c r="B10" s="244"/>
      <c r="C10" s="216"/>
      <c r="D10" s="244"/>
      <c r="E10" s="249"/>
      <c r="F10" s="242"/>
      <c r="G10" s="242" t="s">
        <v>33</v>
      </c>
      <c r="H10" s="242" t="s">
        <v>5</v>
      </c>
      <c r="I10" s="242"/>
      <c r="J10" s="242"/>
      <c r="K10" s="242"/>
      <c r="L10" s="242"/>
      <c r="M10" s="242" t="s">
        <v>34</v>
      </c>
      <c r="CA10" s="1"/>
      <c r="CB10" s="1"/>
      <c r="CC10" s="1"/>
      <c r="CD10" s="1"/>
    </row>
    <row r="11" spans="1:82" ht="69" customHeight="1">
      <c r="A11" s="247"/>
      <c r="B11" s="244"/>
      <c r="C11" s="200"/>
      <c r="D11" s="244"/>
      <c r="E11" s="249"/>
      <c r="F11" s="242"/>
      <c r="G11" s="242"/>
      <c r="H11" s="8" t="s">
        <v>30</v>
      </c>
      <c r="I11" s="8" t="s">
        <v>31</v>
      </c>
      <c r="J11" s="8" t="s">
        <v>32</v>
      </c>
      <c r="K11" s="8" t="s">
        <v>69</v>
      </c>
      <c r="L11" s="8" t="s">
        <v>70</v>
      </c>
      <c r="M11" s="242"/>
      <c r="CA11" s="1"/>
      <c r="CB11" s="1"/>
      <c r="CC11" s="1"/>
      <c r="CD11" s="1"/>
    </row>
    <row r="12" spans="1:82" ht="8.2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CA12" s="1"/>
      <c r="CB12" s="1"/>
      <c r="CC12" s="1"/>
      <c r="CD12" s="1"/>
    </row>
    <row r="13" spans="1:82" ht="50.25" customHeight="1">
      <c r="A13" s="206" t="s">
        <v>71</v>
      </c>
      <c r="B13" s="206"/>
      <c r="C13" s="206"/>
      <c r="D13" s="10">
        <f>+D14</f>
        <v>0</v>
      </c>
      <c r="E13" s="41" t="s">
        <v>406</v>
      </c>
      <c r="F13" s="166">
        <f>+F14+F15+F16+F19+F17+F18</f>
        <v>391000</v>
      </c>
      <c r="G13" s="166">
        <f aca="true" t="shared" si="0" ref="G13:M13">+G14+G15+G16+G19+G17+G18</f>
        <v>0</v>
      </c>
      <c r="H13" s="166">
        <f t="shared" si="0"/>
        <v>0</v>
      </c>
      <c r="I13" s="166">
        <f t="shared" si="0"/>
        <v>0</v>
      </c>
      <c r="J13" s="166">
        <f t="shared" si="0"/>
        <v>0</v>
      </c>
      <c r="K13" s="166">
        <f t="shared" si="0"/>
        <v>0</v>
      </c>
      <c r="L13" s="166">
        <f t="shared" si="0"/>
        <v>0</v>
      </c>
      <c r="M13" s="166">
        <f t="shared" si="0"/>
        <v>391000</v>
      </c>
      <c r="CA13" s="1"/>
      <c r="CB13" s="1"/>
      <c r="CC13" s="1"/>
      <c r="CD13" s="1"/>
    </row>
    <row r="14" spans="1:82" ht="108.75" customHeight="1">
      <c r="A14" s="64" t="s">
        <v>499</v>
      </c>
      <c r="B14" s="10">
        <v>600</v>
      </c>
      <c r="C14" s="10">
        <v>60013</v>
      </c>
      <c r="D14" s="10">
        <v>0</v>
      </c>
      <c r="E14" s="167">
        <v>6050</v>
      </c>
      <c r="F14" s="166">
        <v>100000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100000</v>
      </c>
      <c r="CA14" s="1"/>
      <c r="CB14" s="1"/>
      <c r="CC14" s="1"/>
      <c r="CD14" s="1"/>
    </row>
    <row r="15" spans="1:82" ht="108.75" customHeight="1">
      <c r="A15" s="64" t="s">
        <v>520</v>
      </c>
      <c r="B15" s="10">
        <v>600</v>
      </c>
      <c r="C15" s="10">
        <v>60013</v>
      </c>
      <c r="D15" s="10">
        <v>0</v>
      </c>
      <c r="E15" s="167">
        <v>6630</v>
      </c>
      <c r="F15" s="166">
        <v>40000</v>
      </c>
      <c r="G15" s="166"/>
      <c r="H15" s="166">
        <v>0</v>
      </c>
      <c r="I15" s="166">
        <v>0</v>
      </c>
      <c r="J15" s="166"/>
      <c r="K15" s="166">
        <v>0</v>
      </c>
      <c r="L15" s="166">
        <v>0</v>
      </c>
      <c r="M15" s="166">
        <v>40000</v>
      </c>
      <c r="CA15" s="1"/>
      <c r="CB15" s="1"/>
      <c r="CC15" s="1"/>
      <c r="CD15" s="1"/>
    </row>
    <row r="16" spans="1:82" ht="44.25" customHeight="1">
      <c r="A16" s="64" t="s">
        <v>513</v>
      </c>
      <c r="B16" s="10">
        <v>600</v>
      </c>
      <c r="C16" s="10">
        <v>60013</v>
      </c>
      <c r="D16" s="10">
        <v>0</v>
      </c>
      <c r="E16" s="167">
        <v>6050</v>
      </c>
      <c r="F16" s="166">
        <v>80000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80000</v>
      </c>
      <c r="CA16" s="1"/>
      <c r="CB16" s="1"/>
      <c r="CC16" s="1"/>
      <c r="CD16" s="1"/>
    </row>
    <row r="17" spans="1:82" ht="118.5" customHeight="1">
      <c r="A17" s="64" t="s">
        <v>550</v>
      </c>
      <c r="B17" s="10">
        <v>600</v>
      </c>
      <c r="C17" s="10">
        <v>60014</v>
      </c>
      <c r="D17" s="10">
        <v>0</v>
      </c>
      <c r="E17" s="167">
        <v>6620</v>
      </c>
      <c r="F17" s="166">
        <v>100000</v>
      </c>
      <c r="G17" s="166"/>
      <c r="H17" s="166"/>
      <c r="I17" s="166"/>
      <c r="J17" s="166"/>
      <c r="K17" s="166"/>
      <c r="L17" s="166"/>
      <c r="M17" s="166">
        <v>100000</v>
      </c>
      <c r="CA17" s="1"/>
      <c r="CB17" s="1"/>
      <c r="CC17" s="1"/>
      <c r="CD17" s="1"/>
    </row>
    <row r="18" spans="1:82" ht="124.5" customHeight="1">
      <c r="A18" s="64" t="s">
        <v>539</v>
      </c>
      <c r="B18" s="10">
        <v>600</v>
      </c>
      <c r="C18" s="10">
        <v>60014</v>
      </c>
      <c r="D18" s="10">
        <v>0</v>
      </c>
      <c r="E18" s="167">
        <v>6620</v>
      </c>
      <c r="F18" s="166">
        <v>20000</v>
      </c>
      <c r="G18" s="166"/>
      <c r="H18" s="166"/>
      <c r="I18" s="166"/>
      <c r="J18" s="166"/>
      <c r="K18" s="166"/>
      <c r="L18" s="166"/>
      <c r="M18" s="166">
        <v>20000</v>
      </c>
      <c r="CA18" s="1"/>
      <c r="CB18" s="1"/>
      <c r="CC18" s="1"/>
      <c r="CD18" s="1"/>
    </row>
    <row r="19" spans="1:82" ht="108.75" customHeight="1">
      <c r="A19" s="64" t="s">
        <v>521</v>
      </c>
      <c r="B19" s="10">
        <v>600</v>
      </c>
      <c r="C19" s="10">
        <v>60016</v>
      </c>
      <c r="D19" s="10">
        <v>0</v>
      </c>
      <c r="E19" s="167">
        <v>6050</v>
      </c>
      <c r="F19" s="166">
        <v>51000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51000</v>
      </c>
      <c r="CA19" s="1"/>
      <c r="CB19" s="1"/>
      <c r="CC19" s="1"/>
      <c r="CD19" s="1"/>
    </row>
    <row r="20" spans="1:82" ht="51.75" customHeight="1">
      <c r="A20" s="206" t="s">
        <v>72</v>
      </c>
      <c r="B20" s="206"/>
      <c r="C20" s="206"/>
      <c r="D20" s="166">
        <f>D21</f>
        <v>2000</v>
      </c>
      <c r="E20" s="167" t="s">
        <v>406</v>
      </c>
      <c r="F20" s="172">
        <f>F21</f>
        <v>2000</v>
      </c>
      <c r="G20" s="172">
        <f>G21</f>
        <v>2000</v>
      </c>
      <c r="H20" s="172">
        <f>H21</f>
        <v>2000</v>
      </c>
      <c r="I20" s="169"/>
      <c r="J20" s="169"/>
      <c r="K20" s="169"/>
      <c r="L20" s="169"/>
      <c r="M20" s="169"/>
      <c r="CA20" s="1"/>
      <c r="CB20" s="1"/>
      <c r="CC20" s="1"/>
      <c r="CD20" s="1"/>
    </row>
    <row r="21" spans="1:82" ht="72.75" customHeight="1">
      <c r="A21" s="64" t="s">
        <v>532</v>
      </c>
      <c r="B21" s="10">
        <v>710</v>
      </c>
      <c r="C21" s="10">
        <v>71004</v>
      </c>
      <c r="D21" s="166">
        <v>2000</v>
      </c>
      <c r="E21" s="168">
        <v>4170</v>
      </c>
      <c r="F21" s="172">
        <v>2000</v>
      </c>
      <c r="G21" s="172">
        <v>2000</v>
      </c>
      <c r="H21" s="172">
        <v>2000</v>
      </c>
      <c r="I21" s="169"/>
      <c r="J21" s="169"/>
      <c r="K21" s="169"/>
      <c r="L21" s="169"/>
      <c r="M21" s="169"/>
      <c r="CA21" s="1"/>
      <c r="CB21" s="1"/>
      <c r="CC21" s="1"/>
      <c r="CD21" s="1"/>
    </row>
    <row r="22" spans="1:82" ht="19.5" customHeight="1">
      <c r="A22" s="10"/>
      <c r="B22" s="10"/>
      <c r="C22" s="10"/>
      <c r="D22" s="10"/>
      <c r="E22" s="168"/>
      <c r="F22" s="173"/>
      <c r="G22" s="173"/>
      <c r="H22" s="173"/>
      <c r="I22" s="169"/>
      <c r="J22" s="169"/>
      <c r="K22" s="169"/>
      <c r="L22" s="169"/>
      <c r="M22" s="169"/>
      <c r="CA22" s="1"/>
      <c r="CB22" s="1"/>
      <c r="CC22" s="1"/>
      <c r="CD22" s="1"/>
    </row>
    <row r="23" spans="1:82" ht="51.75" customHeight="1">
      <c r="A23" s="206" t="s">
        <v>73</v>
      </c>
      <c r="B23" s="206"/>
      <c r="C23" s="206"/>
      <c r="D23" s="166">
        <f>D24+D25</f>
        <v>40000</v>
      </c>
      <c r="E23" s="167" t="s">
        <v>406</v>
      </c>
      <c r="F23" s="172">
        <f>F24+F25</f>
        <v>50000</v>
      </c>
      <c r="G23" s="172">
        <f>G24+G25</f>
        <v>50000</v>
      </c>
      <c r="H23" s="173"/>
      <c r="I23" s="169"/>
      <c r="J23" s="169"/>
      <c r="K23" s="169"/>
      <c r="L23" s="169"/>
      <c r="M23" s="169"/>
      <c r="CA23" s="1"/>
      <c r="CB23" s="1"/>
      <c r="CC23" s="1"/>
      <c r="CD23" s="1"/>
    </row>
    <row r="24" spans="1:82" ht="57" customHeight="1">
      <c r="A24" s="64" t="s">
        <v>531</v>
      </c>
      <c r="B24" s="199" t="s">
        <v>171</v>
      </c>
      <c r="C24" s="199" t="s">
        <v>303</v>
      </c>
      <c r="D24" s="166">
        <v>20000</v>
      </c>
      <c r="E24" s="168">
        <v>4210</v>
      </c>
      <c r="F24" s="172">
        <v>25000</v>
      </c>
      <c r="G24" s="172">
        <v>25000</v>
      </c>
      <c r="H24" s="173"/>
      <c r="I24" s="169"/>
      <c r="J24" s="169"/>
      <c r="K24" s="169"/>
      <c r="L24" s="169"/>
      <c r="M24" s="169"/>
      <c r="CA24" s="1"/>
      <c r="CB24" s="1"/>
      <c r="CC24" s="1"/>
      <c r="CD24" s="1"/>
    </row>
    <row r="25" spans="1:82" ht="30.75" customHeight="1">
      <c r="A25" s="10" t="s">
        <v>569</v>
      </c>
      <c r="B25" s="199" t="s">
        <v>171</v>
      </c>
      <c r="C25" s="199" t="s">
        <v>303</v>
      </c>
      <c r="D25" s="166">
        <v>20000</v>
      </c>
      <c r="E25" s="168">
        <v>4300</v>
      </c>
      <c r="F25" s="166">
        <v>25000</v>
      </c>
      <c r="G25" s="166">
        <v>25000</v>
      </c>
      <c r="H25" s="169"/>
      <c r="I25" s="169"/>
      <c r="J25" s="169"/>
      <c r="K25" s="169"/>
      <c r="L25" s="169"/>
      <c r="M25" s="169"/>
      <c r="CA25" s="1"/>
      <c r="CB25" s="1"/>
      <c r="CC25" s="1"/>
      <c r="CD25" s="1"/>
    </row>
    <row r="26" spans="1:82" ht="24.75" customHeight="1">
      <c r="A26" s="214" t="s">
        <v>40</v>
      </c>
      <c r="B26" s="214"/>
      <c r="C26" s="214"/>
      <c r="D26" s="155">
        <f>D23+D20</f>
        <v>42000</v>
      </c>
      <c r="E26" s="155" t="str">
        <f>E13</f>
        <v>X</v>
      </c>
      <c r="F26" s="155">
        <f aca="true" t="shared" si="1" ref="F26:M26">F13+F23+F20</f>
        <v>443000</v>
      </c>
      <c r="G26" s="155">
        <f t="shared" si="1"/>
        <v>52000</v>
      </c>
      <c r="H26" s="155">
        <f t="shared" si="1"/>
        <v>2000</v>
      </c>
      <c r="I26" s="155">
        <f t="shared" si="1"/>
        <v>0</v>
      </c>
      <c r="J26" s="155">
        <f t="shared" si="1"/>
        <v>0</v>
      </c>
      <c r="K26" s="155">
        <f t="shared" si="1"/>
        <v>0</v>
      </c>
      <c r="L26" s="155">
        <f t="shared" si="1"/>
        <v>0</v>
      </c>
      <c r="M26" s="155">
        <f t="shared" si="1"/>
        <v>391000</v>
      </c>
      <c r="CA26" s="1"/>
      <c r="CB26" s="1"/>
      <c r="CC26" s="1"/>
      <c r="CD26" s="1"/>
    </row>
    <row r="29" spans="6:7" ht="12.75">
      <c r="F29" s="108"/>
      <c r="G29" s="108"/>
    </row>
    <row r="30" ht="12.75">
      <c r="F30" s="108"/>
    </row>
  </sheetData>
  <sheetProtection/>
  <mergeCells count="17">
    <mergeCell ref="A5:M5"/>
    <mergeCell ref="I1:M3"/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6:C26"/>
    <mergeCell ref="A13:C13"/>
    <mergeCell ref="A20:C20"/>
    <mergeCell ref="A23:C23"/>
  </mergeCells>
  <printOptions horizontalCentered="1"/>
  <pageMargins left="0.5905511811023623" right="0.5905511811023623" top="0.32" bottom="0.16" header="0.18" footer="0.3"/>
  <pageSetup fitToHeight="2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" sqref="C1:F4"/>
    </sheetView>
  </sheetViews>
  <sheetFormatPr defaultColWidth="9.00390625" defaultRowHeight="12.75"/>
  <cols>
    <col min="1" max="1" width="4.625" style="44" customWidth="1"/>
    <col min="2" max="2" width="43.25390625" style="44" customWidth="1"/>
    <col min="3" max="3" width="9.875" style="44" customWidth="1"/>
    <col min="4" max="16384" width="9.125" style="44" customWidth="1"/>
  </cols>
  <sheetData>
    <row r="1" spans="3:6" s="43" customFormat="1" ht="12" customHeight="1">
      <c r="C1" s="251" t="s">
        <v>556</v>
      </c>
      <c r="D1" s="251"/>
      <c r="E1" s="251"/>
      <c r="F1" s="251"/>
    </row>
    <row r="2" spans="3:6" s="43" customFormat="1" ht="12">
      <c r="C2" s="251"/>
      <c r="D2" s="251"/>
      <c r="E2" s="251"/>
      <c r="F2" s="251"/>
    </row>
    <row r="3" spans="3:6" s="43" customFormat="1" ht="12">
      <c r="C3" s="251"/>
      <c r="D3" s="251"/>
      <c r="E3" s="251"/>
      <c r="F3" s="251"/>
    </row>
    <row r="4" spans="3:6" s="43" customFormat="1" ht="12">
      <c r="C4" s="251"/>
      <c r="D4" s="251"/>
      <c r="E4" s="251"/>
      <c r="F4" s="251"/>
    </row>
    <row r="5" spans="3:6" ht="23.25" customHeight="1">
      <c r="C5" s="183"/>
      <c r="D5" s="183"/>
      <c r="E5" s="183"/>
      <c r="F5" s="183"/>
    </row>
    <row r="6" spans="4:7" ht="12.75">
      <c r="D6" s="182"/>
      <c r="E6" s="182"/>
      <c r="F6" s="182"/>
      <c r="G6" s="182"/>
    </row>
    <row r="7" spans="1:6" ht="25.5" customHeight="1">
      <c r="A7" s="253" t="s">
        <v>74</v>
      </c>
      <c r="B7" s="253"/>
      <c r="C7" s="253"/>
      <c r="D7" s="253"/>
      <c r="E7" s="253"/>
      <c r="F7" s="253"/>
    </row>
    <row r="8" spans="1:6" ht="25.5" customHeight="1">
      <c r="A8" s="45"/>
      <c r="B8" s="45"/>
      <c r="C8" s="45"/>
      <c r="D8" s="45"/>
      <c r="E8" s="45"/>
      <c r="F8" s="45"/>
    </row>
    <row r="9" ht="12.75">
      <c r="F9" s="46" t="s">
        <v>75</v>
      </c>
    </row>
    <row r="10" spans="1:6" ht="35.25" customHeight="1">
      <c r="A10" s="252" t="s">
        <v>76</v>
      </c>
      <c r="B10" s="252" t="s">
        <v>77</v>
      </c>
      <c r="C10" s="252" t="s">
        <v>78</v>
      </c>
      <c r="D10" s="252" t="s">
        <v>79</v>
      </c>
      <c r="E10" s="252"/>
      <c r="F10" s="252"/>
    </row>
    <row r="11" spans="1:6" ht="27.75" customHeight="1">
      <c r="A11" s="252"/>
      <c r="B11" s="252"/>
      <c r="C11" s="252"/>
      <c r="D11" s="47" t="s">
        <v>80</v>
      </c>
      <c r="E11" s="47" t="s">
        <v>81</v>
      </c>
      <c r="F11" s="47" t="s">
        <v>82</v>
      </c>
    </row>
    <row r="12" spans="1:6" ht="12.75">
      <c r="A12" s="48" t="s">
        <v>83</v>
      </c>
      <c r="B12" s="49" t="s">
        <v>84</v>
      </c>
      <c r="C12" s="175">
        <f>C13+C14+C15</f>
        <v>230289</v>
      </c>
      <c r="D12" s="178">
        <v>0</v>
      </c>
      <c r="E12" s="49">
        <v>0</v>
      </c>
      <c r="F12" s="49">
        <v>0</v>
      </c>
    </row>
    <row r="13" spans="1:6" ht="12.75">
      <c r="A13" s="49"/>
      <c r="B13" s="50" t="s">
        <v>85</v>
      </c>
      <c r="C13" s="175">
        <v>19800</v>
      </c>
      <c r="D13" s="178"/>
      <c r="E13" s="49"/>
      <c r="F13" s="49"/>
    </row>
    <row r="14" spans="1:6" ht="12.75">
      <c r="A14" s="49"/>
      <c r="B14" s="50" t="s">
        <v>86</v>
      </c>
      <c r="C14" s="175">
        <v>8389</v>
      </c>
      <c r="D14" s="178"/>
      <c r="E14" s="49"/>
      <c r="F14" s="49"/>
    </row>
    <row r="15" spans="1:6" ht="12.75">
      <c r="A15" s="51"/>
      <c r="B15" s="52" t="s">
        <v>87</v>
      </c>
      <c r="C15" s="176">
        <f>159735+42365</f>
        <v>202100</v>
      </c>
      <c r="D15" s="181"/>
      <c r="E15" s="51"/>
      <c r="F15" s="51"/>
    </row>
    <row r="16" spans="1:6" ht="12.75">
      <c r="A16" s="48" t="s">
        <v>88</v>
      </c>
      <c r="B16" s="49" t="s">
        <v>89</v>
      </c>
      <c r="C16" s="49"/>
      <c r="D16" s="49"/>
      <c r="E16" s="49"/>
      <c r="F16" s="49"/>
    </row>
    <row r="17" spans="1:6" ht="12.75">
      <c r="A17" s="49"/>
      <c r="B17" s="50" t="s">
        <v>85</v>
      </c>
      <c r="C17" s="49"/>
      <c r="D17" s="49"/>
      <c r="E17" s="49"/>
      <c r="F17" s="49"/>
    </row>
    <row r="18" spans="1:6" ht="12.75">
      <c r="A18" s="49"/>
      <c r="B18" s="50" t="s">
        <v>86</v>
      </c>
      <c r="C18" s="49"/>
      <c r="D18" s="49"/>
      <c r="E18" s="49"/>
      <c r="F18" s="49"/>
    </row>
    <row r="19" spans="1:6" ht="12.75">
      <c r="A19" s="51"/>
      <c r="B19" s="52" t="s">
        <v>87</v>
      </c>
      <c r="C19" s="51"/>
      <c r="D19" s="51"/>
      <c r="E19" s="51"/>
      <c r="F19" s="51"/>
    </row>
    <row r="20" spans="1:6" ht="12.75">
      <c r="A20" s="48"/>
      <c r="B20" s="49" t="s">
        <v>90</v>
      </c>
      <c r="C20" s="175">
        <f>C12</f>
        <v>230289</v>
      </c>
      <c r="D20" s="49">
        <v>0</v>
      </c>
      <c r="E20" s="49">
        <v>0</v>
      </c>
      <c r="F20" s="49">
        <v>0</v>
      </c>
    </row>
    <row r="21" spans="1:6" ht="12.75">
      <c r="A21" s="49"/>
      <c r="B21" s="50" t="s">
        <v>85</v>
      </c>
      <c r="C21" s="175">
        <f>C13</f>
        <v>19800</v>
      </c>
      <c r="D21" s="49"/>
      <c r="E21" s="49"/>
      <c r="F21" s="49"/>
    </row>
    <row r="22" spans="1:6" ht="12.75">
      <c r="A22" s="49"/>
      <c r="B22" s="50" t="s">
        <v>86</v>
      </c>
      <c r="C22" s="175">
        <f>C14</f>
        <v>8389</v>
      </c>
      <c r="D22" s="49"/>
      <c r="E22" s="49"/>
      <c r="F22" s="49"/>
    </row>
    <row r="23" spans="1:6" ht="12.75">
      <c r="A23" s="51"/>
      <c r="B23" s="52" t="s">
        <v>87</v>
      </c>
      <c r="C23" s="176">
        <f>C15</f>
        <v>202100</v>
      </c>
      <c r="D23" s="51"/>
      <c r="E23" s="51"/>
      <c r="F23" s="51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E1">
      <selection activeCell="H65" sqref="H65"/>
    </sheetView>
  </sheetViews>
  <sheetFormatPr defaultColWidth="9.00390625" defaultRowHeight="12.75"/>
  <cols>
    <col min="1" max="1" width="4.625" style="44" customWidth="1"/>
    <col min="2" max="2" width="35.375" style="44" customWidth="1"/>
    <col min="3" max="3" width="9.125" style="44" customWidth="1"/>
    <col min="4" max="4" width="10.375" style="44" customWidth="1"/>
    <col min="5" max="6" width="9.125" style="44" customWidth="1"/>
    <col min="7" max="7" width="29.875" style="44" customWidth="1"/>
    <col min="8" max="8" width="9.125" style="44" customWidth="1"/>
    <col min="9" max="10" width="9.875" style="44" customWidth="1"/>
    <col min="11" max="16384" width="9.125" style="44" customWidth="1"/>
  </cols>
  <sheetData>
    <row r="1" spans="10:13" s="43" customFormat="1" ht="12">
      <c r="J1" s="251" t="s">
        <v>557</v>
      </c>
      <c r="K1" s="251"/>
      <c r="L1" s="251"/>
      <c r="M1" s="251"/>
    </row>
    <row r="2" spans="10:13" s="43" customFormat="1" ht="12">
      <c r="J2" s="251"/>
      <c r="K2" s="251"/>
      <c r="L2" s="251"/>
      <c r="M2" s="251"/>
    </row>
    <row r="3" spans="10:13" s="43" customFormat="1" ht="12">
      <c r="J3" s="251"/>
      <c r="K3" s="251"/>
      <c r="L3" s="251"/>
      <c r="M3" s="251"/>
    </row>
    <row r="4" spans="10:13" s="43" customFormat="1" ht="12">
      <c r="J4" s="251"/>
      <c r="K4" s="251"/>
      <c r="L4" s="251"/>
      <c r="M4" s="251"/>
    </row>
    <row r="5" s="43" customFormat="1" ht="12"/>
    <row r="7" spans="1:13" ht="12.75">
      <c r="A7" s="253" t="s">
        <v>91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ht="12.75">
      <c r="M9" s="46" t="s">
        <v>75</v>
      </c>
    </row>
    <row r="10" spans="1:13" ht="48" customHeight="1">
      <c r="A10" s="252" t="s">
        <v>76</v>
      </c>
      <c r="B10" s="252" t="s">
        <v>92</v>
      </c>
      <c r="C10" s="252" t="s">
        <v>93</v>
      </c>
      <c r="D10" s="258" t="s">
        <v>20</v>
      </c>
      <c r="E10" s="252" t="s">
        <v>1</v>
      </c>
      <c r="F10" s="258" t="s">
        <v>2</v>
      </c>
      <c r="G10" s="252" t="s">
        <v>94</v>
      </c>
      <c r="H10" s="252"/>
      <c r="I10" s="258" t="s">
        <v>95</v>
      </c>
      <c r="J10" s="252" t="s">
        <v>78</v>
      </c>
      <c r="K10" s="252" t="s">
        <v>96</v>
      </c>
      <c r="L10" s="252"/>
      <c r="M10" s="252"/>
    </row>
    <row r="11" spans="1:13" ht="24">
      <c r="A11" s="252"/>
      <c r="B11" s="252"/>
      <c r="C11" s="252"/>
      <c r="D11" s="259"/>
      <c r="E11" s="252"/>
      <c r="F11" s="259"/>
      <c r="G11" s="47" t="s">
        <v>97</v>
      </c>
      <c r="H11" s="47" t="s">
        <v>98</v>
      </c>
      <c r="I11" s="259"/>
      <c r="J11" s="252"/>
      <c r="K11" s="47" t="s">
        <v>80</v>
      </c>
      <c r="L11" s="47" t="s">
        <v>81</v>
      </c>
      <c r="M11" s="47" t="s">
        <v>99</v>
      </c>
    </row>
    <row r="12" spans="1:13" ht="25.5">
      <c r="A12" s="53" t="s">
        <v>6</v>
      </c>
      <c r="B12" s="177" t="s">
        <v>561</v>
      </c>
      <c r="C12" s="260">
        <v>2008</v>
      </c>
      <c r="D12" s="256" t="s">
        <v>555</v>
      </c>
      <c r="E12" s="184"/>
      <c r="F12" s="184"/>
      <c r="G12" s="189" t="s">
        <v>100</v>
      </c>
      <c r="H12" s="186">
        <f>H13+H14+H15</f>
        <v>187924</v>
      </c>
      <c r="I12" s="186">
        <v>0</v>
      </c>
      <c r="J12" s="186">
        <f>H12</f>
        <v>187924</v>
      </c>
      <c r="K12" s="186">
        <v>0</v>
      </c>
      <c r="L12" s="186">
        <v>0</v>
      </c>
      <c r="M12" s="186">
        <v>0</v>
      </c>
    </row>
    <row r="13" spans="1:13" ht="25.5">
      <c r="A13" s="49"/>
      <c r="B13" s="178" t="s">
        <v>560</v>
      </c>
      <c r="C13" s="261"/>
      <c r="D13" s="257"/>
      <c r="E13" s="185">
        <v>852</v>
      </c>
      <c r="F13" s="185">
        <v>85214</v>
      </c>
      <c r="G13" s="190" t="s">
        <v>85</v>
      </c>
      <c r="H13" s="187">
        <v>19800</v>
      </c>
      <c r="I13" s="187"/>
      <c r="J13" s="187">
        <f>H13</f>
        <v>19800</v>
      </c>
      <c r="K13" s="187"/>
      <c r="L13" s="187"/>
      <c r="M13" s="187"/>
    </row>
    <row r="14" spans="1:13" ht="25.5">
      <c r="A14" s="49"/>
      <c r="B14" s="178" t="s">
        <v>559</v>
      </c>
      <c r="C14" s="261"/>
      <c r="D14" s="257"/>
      <c r="E14" s="185">
        <v>853</v>
      </c>
      <c r="F14" s="185">
        <v>85395</v>
      </c>
      <c r="G14" s="190" t="s">
        <v>86</v>
      </c>
      <c r="H14" s="187">
        <v>8389</v>
      </c>
      <c r="I14" s="187"/>
      <c r="J14" s="187">
        <f>H14</f>
        <v>8389</v>
      </c>
      <c r="K14" s="187"/>
      <c r="L14" s="187"/>
      <c r="M14" s="187"/>
    </row>
    <row r="15" spans="1:13" ht="25.5">
      <c r="A15" s="49"/>
      <c r="B15" s="178" t="s">
        <v>558</v>
      </c>
      <c r="C15" s="261"/>
      <c r="D15" s="257"/>
      <c r="E15" s="185">
        <v>853</v>
      </c>
      <c r="F15" s="185">
        <v>85395</v>
      </c>
      <c r="G15" s="191" t="s">
        <v>87</v>
      </c>
      <c r="H15" s="187">
        <f>159735</f>
        <v>159735</v>
      </c>
      <c r="I15" s="187"/>
      <c r="J15" s="187">
        <f>H15</f>
        <v>159735</v>
      </c>
      <c r="K15" s="187"/>
      <c r="L15" s="187"/>
      <c r="M15" s="187"/>
    </row>
    <row r="16" spans="1:13" ht="12.75">
      <c r="A16" s="49"/>
      <c r="B16" s="178"/>
      <c r="C16" s="49"/>
      <c r="D16" s="49"/>
      <c r="E16" s="49"/>
      <c r="F16" s="49"/>
      <c r="G16" s="192"/>
      <c r="H16" s="187"/>
      <c r="I16" s="187"/>
      <c r="J16" s="187"/>
      <c r="K16" s="187"/>
      <c r="L16" s="187"/>
      <c r="M16" s="187"/>
    </row>
    <row r="17" spans="1:13" ht="25.5">
      <c r="A17" s="53" t="s">
        <v>7</v>
      </c>
      <c r="B17" s="177" t="s">
        <v>565</v>
      </c>
      <c r="C17" s="254">
        <v>2008</v>
      </c>
      <c r="D17" s="256" t="s">
        <v>566</v>
      </c>
      <c r="E17" s="256">
        <v>801</v>
      </c>
      <c r="F17" s="256">
        <v>80101</v>
      </c>
      <c r="G17" s="189" t="s">
        <v>100</v>
      </c>
      <c r="H17" s="186">
        <f>H20</f>
        <v>42365</v>
      </c>
      <c r="I17" s="186"/>
      <c r="J17" s="186">
        <f>J20</f>
        <v>42365</v>
      </c>
      <c r="K17" s="186"/>
      <c r="L17" s="186"/>
      <c r="M17" s="186"/>
    </row>
    <row r="18" spans="1:13" ht="12.75">
      <c r="A18" s="49"/>
      <c r="B18" s="49" t="s">
        <v>101</v>
      </c>
      <c r="C18" s="255"/>
      <c r="D18" s="257"/>
      <c r="E18" s="257"/>
      <c r="F18" s="257"/>
      <c r="G18" s="190" t="s">
        <v>85</v>
      </c>
      <c r="H18" s="187"/>
      <c r="I18" s="187"/>
      <c r="J18" s="187"/>
      <c r="K18" s="187"/>
      <c r="L18" s="187"/>
      <c r="M18" s="187"/>
    </row>
    <row r="19" spans="1:13" ht="12.75">
      <c r="A19" s="49"/>
      <c r="B19" s="49" t="s">
        <v>568</v>
      </c>
      <c r="C19" s="255"/>
      <c r="D19" s="257"/>
      <c r="E19" s="257"/>
      <c r="F19" s="257"/>
      <c r="G19" s="190" t="s">
        <v>86</v>
      </c>
      <c r="H19" s="187"/>
      <c r="I19" s="187"/>
      <c r="J19" s="187"/>
      <c r="K19" s="187"/>
      <c r="L19" s="187"/>
      <c r="M19" s="187"/>
    </row>
    <row r="20" spans="1:13" ht="38.25">
      <c r="A20" s="49"/>
      <c r="B20" s="178" t="s">
        <v>567</v>
      </c>
      <c r="C20" s="255"/>
      <c r="D20" s="257"/>
      <c r="E20" s="257"/>
      <c r="F20" s="257"/>
      <c r="G20" s="191" t="s">
        <v>87</v>
      </c>
      <c r="H20" s="187">
        <v>42365</v>
      </c>
      <c r="I20" s="187"/>
      <c r="J20" s="187">
        <v>42365</v>
      </c>
      <c r="K20" s="187"/>
      <c r="L20" s="187"/>
      <c r="M20" s="187"/>
    </row>
    <row r="21" spans="1:13" ht="12.75">
      <c r="A21" s="51"/>
      <c r="B21" s="51"/>
      <c r="C21" s="51"/>
      <c r="D21" s="51"/>
      <c r="E21" s="51"/>
      <c r="F21" s="51"/>
      <c r="G21" s="193"/>
      <c r="H21" s="188"/>
      <c r="I21" s="188"/>
      <c r="J21" s="188"/>
      <c r="K21" s="188"/>
      <c r="L21" s="188"/>
      <c r="M21" s="188"/>
    </row>
    <row r="22" spans="1:13" ht="12.75">
      <c r="A22" s="49"/>
      <c r="B22" s="49"/>
      <c r="C22" s="49"/>
      <c r="D22" s="49"/>
      <c r="E22" s="49"/>
      <c r="F22" s="49"/>
      <c r="G22" s="192"/>
      <c r="H22" s="187"/>
      <c r="I22" s="187"/>
      <c r="J22" s="187"/>
      <c r="K22" s="187"/>
      <c r="L22" s="187"/>
      <c r="M22" s="187"/>
    </row>
    <row r="23" spans="1:13" ht="12.75">
      <c r="A23" s="49"/>
      <c r="B23" s="49" t="s">
        <v>84</v>
      </c>
      <c r="C23" s="179"/>
      <c r="D23" s="49"/>
      <c r="E23" s="49"/>
      <c r="F23" s="49"/>
      <c r="G23" s="192"/>
      <c r="H23" s="187">
        <f>H12+H17</f>
        <v>230289</v>
      </c>
      <c r="I23" s="187">
        <v>0</v>
      </c>
      <c r="J23" s="187">
        <f>J12+J17</f>
        <v>230289</v>
      </c>
      <c r="K23" s="187">
        <v>0</v>
      </c>
      <c r="L23" s="187">
        <v>0</v>
      </c>
      <c r="M23" s="187">
        <v>0</v>
      </c>
    </row>
    <row r="24" spans="1:13" ht="12.75">
      <c r="A24" s="49"/>
      <c r="B24" s="50" t="s">
        <v>85</v>
      </c>
      <c r="C24" s="179"/>
      <c r="D24" s="49"/>
      <c r="E24" s="49"/>
      <c r="F24" s="49"/>
      <c r="G24" s="192"/>
      <c r="H24" s="187">
        <f>H13</f>
        <v>19800</v>
      </c>
      <c r="I24" s="187"/>
      <c r="J24" s="187">
        <f>J13</f>
        <v>19800</v>
      </c>
      <c r="K24" s="187"/>
      <c r="L24" s="187"/>
      <c r="M24" s="187"/>
    </row>
    <row r="25" spans="1:13" ht="12.75">
      <c r="A25" s="49"/>
      <c r="B25" s="50" t="s">
        <v>86</v>
      </c>
      <c r="C25" s="179"/>
      <c r="D25" s="49"/>
      <c r="E25" s="49"/>
      <c r="F25" s="49"/>
      <c r="G25" s="192"/>
      <c r="H25" s="187">
        <f>H14</f>
        <v>8389</v>
      </c>
      <c r="I25" s="187"/>
      <c r="J25" s="187">
        <f>J14</f>
        <v>8389</v>
      </c>
      <c r="K25" s="187"/>
      <c r="L25" s="187"/>
      <c r="M25" s="187"/>
    </row>
    <row r="26" spans="1:13" ht="12.75">
      <c r="A26" s="51"/>
      <c r="B26" s="54" t="s">
        <v>87</v>
      </c>
      <c r="C26" s="180"/>
      <c r="D26" s="51"/>
      <c r="E26" s="51"/>
      <c r="F26" s="51"/>
      <c r="G26" s="193"/>
      <c r="H26" s="188">
        <f>H15+H20</f>
        <v>202100</v>
      </c>
      <c r="I26" s="188"/>
      <c r="J26" s="188">
        <f>J15+J20</f>
        <v>202100</v>
      </c>
      <c r="K26" s="188"/>
      <c r="L26" s="188"/>
      <c r="M26" s="188"/>
    </row>
  </sheetData>
  <sheetProtection/>
  <mergeCells count="18">
    <mergeCell ref="C10:C11"/>
    <mergeCell ref="D10:D11"/>
    <mergeCell ref="F10:F11"/>
    <mergeCell ref="E10:E11"/>
    <mergeCell ref="I10:I11"/>
    <mergeCell ref="C12:C15"/>
    <mergeCell ref="D12:D15"/>
    <mergeCell ref="J1:M4"/>
    <mergeCell ref="G10:H10"/>
    <mergeCell ref="J10:J11"/>
    <mergeCell ref="K10:M10"/>
    <mergeCell ref="A7:M7"/>
    <mergeCell ref="A10:A11"/>
    <mergeCell ref="B10:B11"/>
    <mergeCell ref="C17:C20"/>
    <mergeCell ref="D17:D20"/>
    <mergeCell ref="E17:E20"/>
    <mergeCell ref="F17:F20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view="pageBreakPreview" zoomScaleSheetLayoutView="100" zoomScalePageLayoutView="0" workbookViewId="0" topLeftCell="A1">
      <selection activeCell="A4" sqref="A4:K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625" style="1" customWidth="1"/>
    <col min="8" max="8" width="13.375" style="1" customWidth="1"/>
    <col min="9" max="10" width="10.75390625" style="1" customWidth="1"/>
    <col min="11" max="11" width="14.25390625" style="1" customWidth="1"/>
  </cols>
  <sheetData>
    <row r="1" spans="8:11" ht="12.75" customHeight="1">
      <c r="H1" s="220" t="s">
        <v>481</v>
      </c>
      <c r="I1" s="220"/>
      <c r="J1" s="220"/>
      <c r="K1" s="220"/>
    </row>
    <row r="2" spans="8:11" ht="12.75">
      <c r="H2" s="220"/>
      <c r="I2" s="220"/>
      <c r="J2" s="220"/>
      <c r="K2" s="220"/>
    </row>
    <row r="3" spans="8:11" ht="12.75">
      <c r="H3" s="220"/>
      <c r="I3" s="220"/>
      <c r="J3" s="220"/>
      <c r="K3" s="220"/>
    </row>
    <row r="4" spans="1:11" ht="18">
      <c r="A4" s="222" t="s">
        <v>480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6" ht="18">
      <c r="A5" s="2"/>
      <c r="B5" s="2"/>
      <c r="C5" s="2"/>
      <c r="D5" s="2"/>
      <c r="E5" s="2"/>
      <c r="F5" s="2"/>
    </row>
    <row r="6" spans="1:11" ht="12.75">
      <c r="A6" s="18"/>
      <c r="B6" s="18"/>
      <c r="C6" s="18"/>
      <c r="D6" s="18"/>
      <c r="E6" s="18"/>
      <c r="G6" s="7"/>
      <c r="H6" s="7"/>
      <c r="I6" s="7"/>
      <c r="J6" s="7"/>
      <c r="K6" s="19" t="s">
        <v>16</v>
      </c>
    </row>
    <row r="7" spans="1:11" s="20" customFormat="1" ht="18.75" customHeight="1">
      <c r="A7" s="223" t="s">
        <v>1</v>
      </c>
      <c r="B7" s="223" t="s">
        <v>2</v>
      </c>
      <c r="C7" s="223" t="s">
        <v>9</v>
      </c>
      <c r="D7" s="223" t="s">
        <v>47</v>
      </c>
      <c r="E7" s="223" t="s">
        <v>5</v>
      </c>
      <c r="F7" s="223"/>
      <c r="G7" s="223"/>
      <c r="H7" s="223"/>
      <c r="I7" s="223"/>
      <c r="J7" s="223"/>
      <c r="K7" s="223"/>
    </row>
    <row r="8" spans="1:11" s="20" customFormat="1" ht="20.25" customHeight="1">
      <c r="A8" s="223"/>
      <c r="B8" s="223"/>
      <c r="C8" s="223"/>
      <c r="D8" s="223"/>
      <c r="E8" s="223" t="s">
        <v>11</v>
      </c>
      <c r="F8" s="223" t="s">
        <v>23</v>
      </c>
      <c r="G8" s="223"/>
      <c r="H8" s="223"/>
      <c r="I8" s="223"/>
      <c r="J8" s="223"/>
      <c r="K8" s="223" t="s">
        <v>12</v>
      </c>
    </row>
    <row r="9" spans="1:11" s="20" customFormat="1" ht="63.75">
      <c r="A9" s="223"/>
      <c r="B9" s="223"/>
      <c r="C9" s="223"/>
      <c r="D9" s="223"/>
      <c r="E9" s="223"/>
      <c r="F9" s="23" t="s">
        <v>28</v>
      </c>
      <c r="G9" s="23" t="s">
        <v>29</v>
      </c>
      <c r="H9" s="23" t="s">
        <v>24</v>
      </c>
      <c r="I9" s="23" t="s">
        <v>26</v>
      </c>
      <c r="J9" s="23" t="s">
        <v>27</v>
      </c>
      <c r="K9" s="223"/>
    </row>
    <row r="10" spans="1:11" s="20" customFormat="1" ht="6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</row>
    <row r="11" spans="1:11" s="20" customFormat="1" ht="12.75">
      <c r="A11" s="221" t="s">
        <v>171</v>
      </c>
      <c r="B11" s="91"/>
      <c r="C11" s="92" t="s">
        <v>172</v>
      </c>
      <c r="D11" s="93">
        <f>D12+D14+D15+D16+D17+D13</f>
        <v>2169500</v>
      </c>
      <c r="E11" s="93">
        <f aca="true" t="shared" si="0" ref="E11:K11">E12+E14+E15+E16+E17+E13</f>
        <v>379500</v>
      </c>
      <c r="F11" s="93">
        <f t="shared" si="0"/>
        <v>0</v>
      </c>
      <c r="G11" s="93">
        <f t="shared" si="0"/>
        <v>0</v>
      </c>
      <c r="H11" s="93">
        <f t="shared" si="0"/>
        <v>0</v>
      </c>
      <c r="I11" s="93">
        <f t="shared" si="0"/>
        <v>0</v>
      </c>
      <c r="J11" s="93">
        <f t="shared" si="0"/>
        <v>0</v>
      </c>
      <c r="K11" s="93">
        <f t="shared" si="0"/>
        <v>1790000</v>
      </c>
    </row>
    <row r="12" spans="1:11" s="20" customFormat="1" ht="12.75">
      <c r="A12" s="221"/>
      <c r="B12" s="94" t="s">
        <v>297</v>
      </c>
      <c r="C12" s="95" t="s">
        <v>298</v>
      </c>
      <c r="D12" s="96">
        <f>E12+K12</f>
        <v>5000</v>
      </c>
      <c r="E12" s="96">
        <v>5000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</row>
    <row r="13" spans="1:11" s="20" customFormat="1" ht="12.75">
      <c r="A13" s="221"/>
      <c r="B13" s="97" t="s">
        <v>472</v>
      </c>
      <c r="C13" s="95" t="s">
        <v>440</v>
      </c>
      <c r="D13" s="96">
        <f>E13+K13</f>
        <v>300000</v>
      </c>
      <c r="E13" s="96">
        <v>300000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</row>
    <row r="14" spans="1:11" s="20" customFormat="1" ht="25.5">
      <c r="A14" s="221"/>
      <c r="B14" s="97" t="s">
        <v>173</v>
      </c>
      <c r="C14" s="95" t="s">
        <v>174</v>
      </c>
      <c r="D14" s="96">
        <f aca="true" t="shared" si="1" ref="D14:D86">E14+K14</f>
        <v>1825000</v>
      </c>
      <c r="E14" s="96">
        <v>35000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>3!G24</f>
        <v>1790000</v>
      </c>
    </row>
    <row r="15" spans="1:11" s="20" customFormat="1" ht="76.5">
      <c r="A15" s="221"/>
      <c r="B15" s="94" t="s">
        <v>299</v>
      </c>
      <c r="C15" s="95" t="s">
        <v>300</v>
      </c>
      <c r="D15" s="96">
        <f t="shared" si="1"/>
        <v>1500</v>
      </c>
      <c r="E15" s="96">
        <v>1500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</row>
    <row r="16" spans="1:11" s="20" customFormat="1" ht="12.75">
      <c r="A16" s="221"/>
      <c r="B16" s="94" t="s">
        <v>301</v>
      </c>
      <c r="C16" s="95" t="s">
        <v>302</v>
      </c>
      <c r="D16" s="96">
        <f t="shared" si="1"/>
        <v>18000</v>
      </c>
      <c r="E16" s="96">
        <v>18000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</row>
    <row r="17" spans="1:11" s="20" customFormat="1" ht="12.75">
      <c r="A17" s="221"/>
      <c r="B17" s="94" t="s">
        <v>303</v>
      </c>
      <c r="C17" s="95" t="s">
        <v>202</v>
      </c>
      <c r="D17" s="96">
        <f t="shared" si="1"/>
        <v>20000</v>
      </c>
      <c r="E17" s="96">
        <v>20000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</row>
    <row r="18" spans="1:11" s="20" customFormat="1" ht="12.75">
      <c r="A18" s="221" t="s">
        <v>177</v>
      </c>
      <c r="B18" s="91"/>
      <c r="C18" s="92" t="s">
        <v>178</v>
      </c>
      <c r="D18" s="98">
        <f>D19+D20</f>
        <v>5373800</v>
      </c>
      <c r="E18" s="98">
        <f aca="true" t="shared" si="2" ref="E18:K18">E19+E20</f>
        <v>750000</v>
      </c>
      <c r="F18" s="98">
        <f t="shared" si="2"/>
        <v>0</v>
      </c>
      <c r="G18" s="98">
        <f t="shared" si="2"/>
        <v>0</v>
      </c>
      <c r="H18" s="98">
        <f t="shared" si="2"/>
        <v>0</v>
      </c>
      <c r="I18" s="98">
        <f t="shared" si="2"/>
        <v>0</v>
      </c>
      <c r="J18" s="98">
        <f t="shared" si="2"/>
        <v>0</v>
      </c>
      <c r="K18" s="98">
        <f t="shared" si="2"/>
        <v>4623800</v>
      </c>
    </row>
    <row r="19" spans="1:11" s="20" customFormat="1" ht="12.75">
      <c r="A19" s="221"/>
      <c r="B19" s="94" t="s">
        <v>304</v>
      </c>
      <c r="C19" s="95" t="s">
        <v>305</v>
      </c>
      <c r="D19" s="96">
        <f t="shared" si="1"/>
        <v>100000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3!G25+3!G26</f>
        <v>100000</v>
      </c>
    </row>
    <row r="20" spans="1:11" s="20" customFormat="1" ht="12.75">
      <c r="A20" s="221"/>
      <c r="B20" s="94" t="s">
        <v>179</v>
      </c>
      <c r="C20" s="95" t="s">
        <v>180</v>
      </c>
      <c r="D20" s="96">
        <f t="shared" si="1"/>
        <v>5273800</v>
      </c>
      <c r="E20" s="96">
        <v>750000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>3!G39-3!G25-3!G26+4!E30</f>
        <v>4523800</v>
      </c>
    </row>
    <row r="21" spans="1:11" s="20" customFormat="1" ht="12.75">
      <c r="A21" s="221" t="s">
        <v>306</v>
      </c>
      <c r="B21" s="91"/>
      <c r="C21" s="92" t="s">
        <v>307</v>
      </c>
      <c r="D21" s="98">
        <f>D22</f>
        <v>26000</v>
      </c>
      <c r="E21" s="98">
        <f aca="true" t="shared" si="3" ref="E21:K21">E22</f>
        <v>26000</v>
      </c>
      <c r="F21" s="98">
        <f t="shared" si="3"/>
        <v>0</v>
      </c>
      <c r="G21" s="98">
        <f t="shared" si="3"/>
        <v>0</v>
      </c>
      <c r="H21" s="98">
        <f t="shared" si="3"/>
        <v>0</v>
      </c>
      <c r="I21" s="98">
        <f t="shared" si="3"/>
        <v>0</v>
      </c>
      <c r="J21" s="98">
        <f t="shared" si="3"/>
        <v>0</v>
      </c>
      <c r="K21" s="98">
        <f t="shared" si="3"/>
        <v>0</v>
      </c>
    </row>
    <row r="22" spans="1:11" s="20" customFormat="1" ht="12.75">
      <c r="A22" s="221"/>
      <c r="B22" s="94" t="s">
        <v>308</v>
      </c>
      <c r="C22" s="95" t="s">
        <v>202</v>
      </c>
      <c r="D22" s="96">
        <f t="shared" si="1"/>
        <v>26000</v>
      </c>
      <c r="E22" s="96">
        <v>26000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</row>
    <row r="23" spans="1:11" s="20" customFormat="1" ht="12.75">
      <c r="A23" s="221" t="s">
        <v>185</v>
      </c>
      <c r="B23" s="91"/>
      <c r="C23" s="92" t="s">
        <v>186</v>
      </c>
      <c r="D23" s="98">
        <f>D24+D25+D26</f>
        <v>300000</v>
      </c>
      <c r="E23" s="98">
        <f aca="true" t="shared" si="4" ref="E23:K23">E24+E25+E26</f>
        <v>200000</v>
      </c>
      <c r="F23" s="98">
        <f t="shared" si="4"/>
        <v>0</v>
      </c>
      <c r="G23" s="98">
        <f t="shared" si="4"/>
        <v>0</v>
      </c>
      <c r="H23" s="98">
        <f t="shared" si="4"/>
        <v>0</v>
      </c>
      <c r="I23" s="98">
        <f t="shared" si="4"/>
        <v>0</v>
      </c>
      <c r="J23" s="98">
        <f t="shared" si="4"/>
        <v>0</v>
      </c>
      <c r="K23" s="98">
        <f t="shared" si="4"/>
        <v>100000</v>
      </c>
    </row>
    <row r="24" spans="1:11" s="21" customFormat="1" ht="24.75" customHeight="1">
      <c r="A24" s="221"/>
      <c r="B24" s="94" t="s">
        <v>309</v>
      </c>
      <c r="C24" s="95" t="s">
        <v>310</v>
      </c>
      <c r="D24" s="96">
        <f t="shared" si="1"/>
        <v>160000</v>
      </c>
      <c r="E24" s="99">
        <v>160000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</row>
    <row r="25" spans="1:11" ht="25.5">
      <c r="A25" s="221"/>
      <c r="B25" s="94" t="s">
        <v>187</v>
      </c>
      <c r="C25" s="95" t="s">
        <v>188</v>
      </c>
      <c r="D25" s="96">
        <f t="shared" si="1"/>
        <v>135000</v>
      </c>
      <c r="E25" s="101">
        <v>35000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f>4!E31</f>
        <v>100000</v>
      </c>
    </row>
    <row r="26" spans="1:11" ht="12.75">
      <c r="A26" s="221"/>
      <c r="B26" s="94" t="s">
        <v>311</v>
      </c>
      <c r="C26" s="95" t="s">
        <v>202</v>
      </c>
      <c r="D26" s="96">
        <f t="shared" si="1"/>
        <v>5000</v>
      </c>
      <c r="E26" s="101">
        <v>5000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f>3!G42</f>
        <v>0</v>
      </c>
    </row>
    <row r="27" spans="1:11" ht="12.75">
      <c r="A27" s="221" t="s">
        <v>312</v>
      </c>
      <c r="B27" s="102"/>
      <c r="C27" s="103" t="s">
        <v>313</v>
      </c>
      <c r="D27" s="104">
        <f>D28+D29</f>
        <v>151500</v>
      </c>
      <c r="E27" s="104">
        <f aca="true" t="shared" si="5" ref="E27:K27">E28+E29</f>
        <v>151500</v>
      </c>
      <c r="F27" s="104">
        <f t="shared" si="5"/>
        <v>0</v>
      </c>
      <c r="G27" s="104">
        <f t="shared" si="5"/>
        <v>0</v>
      </c>
      <c r="H27" s="104">
        <f t="shared" si="5"/>
        <v>0</v>
      </c>
      <c r="I27" s="104">
        <f t="shared" si="5"/>
        <v>0</v>
      </c>
      <c r="J27" s="104">
        <f t="shared" si="5"/>
        <v>0</v>
      </c>
      <c r="K27" s="104">
        <f t="shared" si="5"/>
        <v>0</v>
      </c>
    </row>
    <row r="28" spans="1:11" ht="25.5">
      <c r="A28" s="221"/>
      <c r="B28" s="94" t="s">
        <v>314</v>
      </c>
      <c r="C28" s="95" t="s">
        <v>315</v>
      </c>
      <c r="D28" s="96">
        <f t="shared" si="1"/>
        <v>150000</v>
      </c>
      <c r="E28" s="101">
        <v>150000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</row>
    <row r="29" spans="1:11" ht="15" customHeight="1">
      <c r="A29" s="221"/>
      <c r="B29" s="94" t="s">
        <v>316</v>
      </c>
      <c r="C29" s="95" t="s">
        <v>317</v>
      </c>
      <c r="D29" s="96">
        <f t="shared" si="1"/>
        <v>1500</v>
      </c>
      <c r="E29" s="101">
        <v>1500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</row>
    <row r="30" spans="1:11" ht="12.75">
      <c r="A30" s="221" t="s">
        <v>195</v>
      </c>
      <c r="B30" s="102"/>
      <c r="C30" s="103" t="s">
        <v>196</v>
      </c>
      <c r="D30" s="104">
        <f>D31+D32+D33+D35+D34</f>
        <v>5869388</v>
      </c>
      <c r="E30" s="104">
        <f aca="true" t="shared" si="6" ref="E30:K30">E31+E32+E33+E35+E34</f>
        <v>5744388</v>
      </c>
      <c r="F30" s="104">
        <f t="shared" si="6"/>
        <v>3393067</v>
      </c>
      <c r="G30" s="104">
        <f t="shared" si="6"/>
        <v>669167</v>
      </c>
      <c r="H30" s="104">
        <f t="shared" si="6"/>
        <v>0</v>
      </c>
      <c r="I30" s="104">
        <f t="shared" si="6"/>
        <v>0</v>
      </c>
      <c r="J30" s="104">
        <f t="shared" si="6"/>
        <v>0</v>
      </c>
      <c r="K30" s="104">
        <f t="shared" si="6"/>
        <v>125000</v>
      </c>
    </row>
    <row r="31" spans="1:11" ht="12.75">
      <c r="A31" s="221"/>
      <c r="B31" s="94" t="s">
        <v>197</v>
      </c>
      <c r="C31" s="95" t="s">
        <v>198</v>
      </c>
      <c r="D31" s="96">
        <f t="shared" si="1"/>
        <v>330568</v>
      </c>
      <c r="E31" s="101">
        <v>330568</v>
      </c>
      <c r="F31" s="101">
        <v>266139</v>
      </c>
      <c r="G31" s="101">
        <v>52429</v>
      </c>
      <c r="H31" s="101">
        <v>0</v>
      </c>
      <c r="I31" s="101">
        <v>0</v>
      </c>
      <c r="J31" s="101">
        <v>0</v>
      </c>
      <c r="K31" s="101">
        <v>0</v>
      </c>
    </row>
    <row r="32" spans="1:11" ht="25.5">
      <c r="A32" s="221"/>
      <c r="B32" s="94" t="s">
        <v>318</v>
      </c>
      <c r="C32" s="95" t="s">
        <v>319</v>
      </c>
      <c r="D32" s="96">
        <f t="shared" si="1"/>
        <v>170000</v>
      </c>
      <c r="E32" s="101">
        <v>170000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</row>
    <row r="33" spans="1:11" ht="25.5">
      <c r="A33" s="221"/>
      <c r="B33" s="94" t="s">
        <v>320</v>
      </c>
      <c r="C33" s="95" t="s">
        <v>321</v>
      </c>
      <c r="D33" s="96">
        <f>E33+K33</f>
        <v>4907971</v>
      </c>
      <c r="E33" s="101">
        <v>4782971</v>
      </c>
      <c r="F33" s="101">
        <v>3005581</v>
      </c>
      <c r="G33" s="101">
        <v>592100</v>
      </c>
      <c r="H33" s="101">
        <v>0</v>
      </c>
      <c r="I33" s="101">
        <v>0</v>
      </c>
      <c r="J33" s="101">
        <v>0</v>
      </c>
      <c r="K33" s="101">
        <f>4!E35</f>
        <v>125000</v>
      </c>
    </row>
    <row r="34" spans="1:11" ht="25.5">
      <c r="A34" s="221"/>
      <c r="B34" s="94">
        <v>75075</v>
      </c>
      <c r="C34" s="95" t="s">
        <v>322</v>
      </c>
      <c r="D34" s="96">
        <f t="shared" si="1"/>
        <v>250000</v>
      </c>
      <c r="E34" s="101">
        <v>250000</v>
      </c>
      <c r="F34" s="101">
        <v>5000</v>
      </c>
      <c r="G34" s="101">
        <v>985</v>
      </c>
      <c r="H34" s="101">
        <v>0</v>
      </c>
      <c r="I34" s="101">
        <v>0</v>
      </c>
      <c r="J34" s="101">
        <v>0</v>
      </c>
      <c r="K34" s="101">
        <v>0</v>
      </c>
    </row>
    <row r="35" spans="1:11" ht="12.75">
      <c r="A35" s="221"/>
      <c r="B35" s="94" t="s">
        <v>201</v>
      </c>
      <c r="C35" s="95" t="s">
        <v>202</v>
      </c>
      <c r="D35" s="96">
        <f t="shared" si="1"/>
        <v>210849</v>
      </c>
      <c r="E35" s="101">
        <v>210849</v>
      </c>
      <c r="F35" s="101">
        <v>116347</v>
      </c>
      <c r="G35" s="101">
        <v>23653</v>
      </c>
      <c r="H35" s="101">
        <v>0</v>
      </c>
      <c r="I35" s="101">
        <v>0</v>
      </c>
      <c r="J35" s="101">
        <v>0</v>
      </c>
      <c r="K35" s="101">
        <v>0</v>
      </c>
    </row>
    <row r="36" spans="1:11" ht="38.25">
      <c r="A36" s="221">
        <v>751</v>
      </c>
      <c r="B36" s="102"/>
      <c r="C36" s="103" t="s">
        <v>204</v>
      </c>
      <c r="D36" s="104">
        <f>D37</f>
        <v>3738</v>
      </c>
      <c r="E36" s="104">
        <f aca="true" t="shared" si="7" ref="E36:K36">E37</f>
        <v>3738</v>
      </c>
      <c r="F36" s="104">
        <f>F37</f>
        <v>3124</v>
      </c>
      <c r="G36" s="104">
        <f t="shared" si="7"/>
        <v>614</v>
      </c>
      <c r="H36" s="104">
        <f t="shared" si="7"/>
        <v>0</v>
      </c>
      <c r="I36" s="104">
        <f t="shared" si="7"/>
        <v>0</v>
      </c>
      <c r="J36" s="104">
        <f t="shared" si="7"/>
        <v>0</v>
      </c>
      <c r="K36" s="104">
        <f t="shared" si="7"/>
        <v>0</v>
      </c>
    </row>
    <row r="37" spans="1:11" ht="25.5">
      <c r="A37" s="221"/>
      <c r="B37" s="94">
        <v>75101</v>
      </c>
      <c r="C37" s="95" t="s">
        <v>206</v>
      </c>
      <c r="D37" s="96">
        <f t="shared" si="1"/>
        <v>3738</v>
      </c>
      <c r="E37" s="101">
        <v>3738</v>
      </c>
      <c r="F37" s="101">
        <v>3124</v>
      </c>
      <c r="G37" s="101">
        <v>614</v>
      </c>
      <c r="H37" s="101">
        <v>0</v>
      </c>
      <c r="I37" s="101">
        <v>0</v>
      </c>
      <c r="J37" s="101">
        <v>0</v>
      </c>
      <c r="K37" s="101">
        <v>0</v>
      </c>
    </row>
    <row r="38" spans="1:11" ht="25.5">
      <c r="A38" s="221" t="s">
        <v>207</v>
      </c>
      <c r="B38" s="102"/>
      <c r="C38" s="103" t="s">
        <v>208</v>
      </c>
      <c r="D38" s="104">
        <f>D39+D40+D41+D43+D42</f>
        <v>370161</v>
      </c>
      <c r="E38" s="104">
        <f aca="true" t="shared" si="8" ref="E38:K38">E39+E40+E41+E43+E42</f>
        <v>370161</v>
      </c>
      <c r="F38" s="104">
        <f t="shared" si="8"/>
        <v>155523</v>
      </c>
      <c r="G38" s="104">
        <f t="shared" si="8"/>
        <v>30638</v>
      </c>
      <c r="H38" s="104">
        <f t="shared" si="8"/>
        <v>0</v>
      </c>
      <c r="I38" s="104">
        <f t="shared" si="8"/>
        <v>0</v>
      </c>
      <c r="J38" s="104">
        <f t="shared" si="8"/>
        <v>0</v>
      </c>
      <c r="K38" s="104">
        <f t="shared" si="8"/>
        <v>0</v>
      </c>
    </row>
    <row r="39" spans="1:11" ht="12.75">
      <c r="A39" s="221"/>
      <c r="B39" s="94" t="s">
        <v>323</v>
      </c>
      <c r="C39" s="95" t="s">
        <v>324</v>
      </c>
      <c r="D39" s="96">
        <f t="shared" si="1"/>
        <v>150000</v>
      </c>
      <c r="E39" s="101">
        <v>150000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</row>
    <row r="40" spans="1:11" ht="12.75">
      <c r="A40" s="221"/>
      <c r="B40" s="94" t="s">
        <v>325</v>
      </c>
      <c r="C40" s="95" t="s">
        <v>326</v>
      </c>
      <c r="D40" s="96">
        <f t="shared" si="1"/>
        <v>5000</v>
      </c>
      <c r="E40" s="101">
        <v>5000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</row>
    <row r="41" spans="1:11" ht="12.75">
      <c r="A41" s="221"/>
      <c r="B41" s="94" t="s">
        <v>209</v>
      </c>
      <c r="C41" s="95" t="s">
        <v>210</v>
      </c>
      <c r="D41" s="96">
        <f t="shared" si="1"/>
        <v>199161</v>
      </c>
      <c r="E41" s="101">
        <v>199161</v>
      </c>
      <c r="F41" s="101">
        <v>155523</v>
      </c>
      <c r="G41" s="101">
        <v>30638</v>
      </c>
      <c r="H41" s="101">
        <v>0</v>
      </c>
      <c r="I41" s="101">
        <v>0</v>
      </c>
      <c r="J41" s="101">
        <v>0</v>
      </c>
      <c r="K41" s="101">
        <v>0</v>
      </c>
    </row>
    <row r="42" spans="1:11" ht="12.75">
      <c r="A42" s="221"/>
      <c r="B42" s="94">
        <v>75421</v>
      </c>
      <c r="C42" s="95" t="s">
        <v>477</v>
      </c>
      <c r="D42" s="96">
        <f>E42</f>
        <v>15000</v>
      </c>
      <c r="E42" s="101">
        <v>15000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>
      <c r="A43" s="221"/>
      <c r="B43" s="94" t="s">
        <v>327</v>
      </c>
      <c r="C43" s="95" t="s">
        <v>202</v>
      </c>
      <c r="D43" s="96">
        <f t="shared" si="1"/>
        <v>1000</v>
      </c>
      <c r="E43" s="101">
        <v>1000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</row>
    <row r="44" spans="1:11" ht="63.75">
      <c r="A44" s="221" t="s">
        <v>213</v>
      </c>
      <c r="B44" s="102"/>
      <c r="C44" s="103" t="s">
        <v>214</v>
      </c>
      <c r="D44" s="104">
        <f>D45</f>
        <v>105884</v>
      </c>
      <c r="E44" s="104">
        <f aca="true" t="shared" si="9" ref="E44:K44">E45</f>
        <v>105884</v>
      </c>
      <c r="F44" s="104">
        <f t="shared" si="9"/>
        <v>104702</v>
      </c>
      <c r="G44" s="104">
        <f t="shared" si="9"/>
        <v>1182</v>
      </c>
      <c r="H44" s="104">
        <f t="shared" si="9"/>
        <v>0</v>
      </c>
      <c r="I44" s="104">
        <f t="shared" si="9"/>
        <v>0</v>
      </c>
      <c r="J44" s="104">
        <f t="shared" si="9"/>
        <v>0</v>
      </c>
      <c r="K44" s="104">
        <f t="shared" si="9"/>
        <v>0</v>
      </c>
    </row>
    <row r="45" spans="1:11" ht="38.25">
      <c r="A45" s="221"/>
      <c r="B45" s="94" t="s">
        <v>328</v>
      </c>
      <c r="C45" s="95" t="s">
        <v>329</v>
      </c>
      <c r="D45" s="96">
        <f t="shared" si="1"/>
        <v>105884</v>
      </c>
      <c r="E45" s="101">
        <v>105884</v>
      </c>
      <c r="F45" s="101">
        <v>104702</v>
      </c>
      <c r="G45" s="101">
        <v>1182</v>
      </c>
      <c r="H45" s="101">
        <v>0</v>
      </c>
      <c r="I45" s="101">
        <v>0</v>
      </c>
      <c r="J45" s="101">
        <v>0</v>
      </c>
      <c r="K45" s="101">
        <v>0</v>
      </c>
    </row>
    <row r="46" spans="1:11" ht="12.75">
      <c r="A46" s="221" t="s">
        <v>330</v>
      </c>
      <c r="B46" s="102"/>
      <c r="C46" s="103" t="s">
        <v>331</v>
      </c>
      <c r="D46" s="104">
        <f>D47+D48</f>
        <v>611603</v>
      </c>
      <c r="E46" s="104">
        <f aca="true" t="shared" si="10" ref="E46:K46">E47+E48</f>
        <v>611603</v>
      </c>
      <c r="F46" s="104">
        <f t="shared" si="10"/>
        <v>0</v>
      </c>
      <c r="G46" s="104">
        <f t="shared" si="10"/>
        <v>0</v>
      </c>
      <c r="H46" s="104">
        <f t="shared" si="10"/>
        <v>0</v>
      </c>
      <c r="I46" s="104">
        <f t="shared" si="10"/>
        <v>400000</v>
      </c>
      <c r="J46" s="104">
        <f t="shared" si="10"/>
        <v>211603</v>
      </c>
      <c r="K46" s="104">
        <f t="shared" si="10"/>
        <v>0</v>
      </c>
    </row>
    <row r="47" spans="1:11" ht="38.25">
      <c r="A47" s="221"/>
      <c r="B47" s="94" t="s">
        <v>332</v>
      </c>
      <c r="C47" s="95" t="s">
        <v>333</v>
      </c>
      <c r="D47" s="96">
        <f t="shared" si="1"/>
        <v>400000</v>
      </c>
      <c r="E47" s="101">
        <v>400000</v>
      </c>
      <c r="F47" s="101">
        <v>0</v>
      </c>
      <c r="G47" s="101">
        <v>0</v>
      </c>
      <c r="H47" s="101">
        <v>0</v>
      </c>
      <c r="I47" s="101">
        <v>400000</v>
      </c>
      <c r="J47" s="101">
        <v>0</v>
      </c>
      <c r="K47" s="101">
        <v>0</v>
      </c>
    </row>
    <row r="48" spans="1:11" ht="51">
      <c r="A48" s="221"/>
      <c r="B48" s="94" t="s">
        <v>334</v>
      </c>
      <c r="C48" s="95" t="s">
        <v>335</v>
      </c>
      <c r="D48" s="96">
        <f t="shared" si="1"/>
        <v>211603</v>
      </c>
      <c r="E48" s="101">
        <f>J48</f>
        <v>211603</v>
      </c>
      <c r="F48" s="101">
        <v>0</v>
      </c>
      <c r="G48" s="101">
        <v>0</v>
      </c>
      <c r="H48" s="101">
        <v>0</v>
      </c>
      <c r="I48" s="101">
        <v>0</v>
      </c>
      <c r="J48" s="101">
        <v>211603</v>
      </c>
      <c r="K48" s="101">
        <v>0</v>
      </c>
    </row>
    <row r="49" spans="1:11" ht="12.75">
      <c r="A49" s="221">
        <v>758</v>
      </c>
      <c r="B49" s="58"/>
      <c r="C49" s="105" t="s">
        <v>262</v>
      </c>
      <c r="D49" s="100">
        <f>D50</f>
        <v>300000</v>
      </c>
      <c r="E49" s="104">
        <f>E50</f>
        <v>300000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</row>
    <row r="50" spans="1:11" ht="12.75">
      <c r="A50" s="221"/>
      <c r="B50" s="10">
        <v>75818</v>
      </c>
      <c r="C50" s="106" t="s">
        <v>336</v>
      </c>
      <c r="D50" s="96">
        <f>E50</f>
        <v>300000</v>
      </c>
      <c r="E50" s="101">
        <f>300000</f>
        <v>300000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>
      <c r="A51" s="221" t="s">
        <v>275</v>
      </c>
      <c r="B51" s="102"/>
      <c r="C51" s="103" t="s">
        <v>276</v>
      </c>
      <c r="D51" s="104">
        <f>D52+D53+D54+D55+D57+D58+D59+D56</f>
        <v>16645016</v>
      </c>
      <c r="E51" s="104">
        <f aca="true" t="shared" si="11" ref="E51:K51">E52+E53+E54+E55+E57+E58+E59+E56</f>
        <v>16405016</v>
      </c>
      <c r="F51" s="104">
        <f t="shared" si="11"/>
        <v>9699448</v>
      </c>
      <c r="G51" s="104">
        <f t="shared" si="11"/>
        <v>1681125</v>
      </c>
      <c r="H51" s="104">
        <f t="shared" si="11"/>
        <v>2021400</v>
      </c>
      <c r="I51" s="104">
        <f t="shared" si="11"/>
        <v>0</v>
      </c>
      <c r="J51" s="104">
        <f t="shared" si="11"/>
        <v>0</v>
      </c>
      <c r="K51" s="104">
        <f t="shared" si="11"/>
        <v>240000</v>
      </c>
    </row>
    <row r="52" spans="1:11" ht="12.75">
      <c r="A52" s="221"/>
      <c r="B52" s="94" t="s">
        <v>277</v>
      </c>
      <c r="C52" s="95" t="s">
        <v>278</v>
      </c>
      <c r="D52" s="96">
        <f>E52+K52</f>
        <v>8171493</v>
      </c>
      <c r="E52" s="101">
        <f>8148578-80000-163085+27000</f>
        <v>7932493</v>
      </c>
      <c r="F52" s="101">
        <f>5623085-163085</f>
        <v>5460000</v>
      </c>
      <c r="G52" s="101">
        <f>1002455-80000</f>
        <v>922455</v>
      </c>
      <c r="H52" s="101">
        <v>0</v>
      </c>
      <c r="I52" s="101">
        <v>0</v>
      </c>
      <c r="J52" s="101">
        <v>0</v>
      </c>
      <c r="K52" s="101">
        <f>3!G43</f>
        <v>239000</v>
      </c>
    </row>
    <row r="53" spans="1:11" ht="25.5">
      <c r="A53" s="221"/>
      <c r="B53" s="94" t="s">
        <v>337</v>
      </c>
      <c r="C53" s="95" t="s">
        <v>338</v>
      </c>
      <c r="D53" s="96">
        <f t="shared" si="1"/>
        <v>607205</v>
      </c>
      <c r="E53" s="101">
        <v>607205</v>
      </c>
      <c r="F53" s="101">
        <v>460987</v>
      </c>
      <c r="G53" s="101">
        <v>86852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>
      <c r="A54" s="221"/>
      <c r="B54" s="94" t="s">
        <v>339</v>
      </c>
      <c r="C54" s="95" t="s">
        <v>340</v>
      </c>
      <c r="D54" s="96">
        <f t="shared" si="1"/>
        <v>1800000</v>
      </c>
      <c r="E54" s="101">
        <v>1800000</v>
      </c>
      <c r="F54" s="101">
        <v>0</v>
      </c>
      <c r="G54" s="101">
        <v>0</v>
      </c>
      <c r="H54" s="101">
        <v>1800000</v>
      </c>
      <c r="I54" s="101">
        <v>0</v>
      </c>
      <c r="J54" s="101">
        <v>0</v>
      </c>
      <c r="K54" s="101">
        <v>0</v>
      </c>
    </row>
    <row r="55" spans="1:11" ht="12.75">
      <c r="A55" s="221"/>
      <c r="B55" s="94" t="s">
        <v>341</v>
      </c>
      <c r="C55" s="95" t="s">
        <v>342</v>
      </c>
      <c r="D55" s="96">
        <f t="shared" si="1"/>
        <v>4866870</v>
      </c>
      <c r="E55" s="101">
        <f>4965870-100000</f>
        <v>4865870</v>
      </c>
      <c r="F55" s="101">
        <v>3356044</v>
      </c>
      <c r="G55" s="101">
        <v>596136</v>
      </c>
      <c r="H55" s="101">
        <v>221400</v>
      </c>
      <c r="I55" s="101">
        <v>0</v>
      </c>
      <c r="J55" s="101">
        <v>0</v>
      </c>
      <c r="K55" s="101">
        <f>3!G45</f>
        <v>1000</v>
      </c>
    </row>
    <row r="56" spans="1:11" ht="12.75">
      <c r="A56" s="221"/>
      <c r="B56" s="94">
        <v>80113</v>
      </c>
      <c r="C56" s="95" t="s">
        <v>343</v>
      </c>
      <c r="D56" s="96">
        <f t="shared" si="1"/>
        <v>543448</v>
      </c>
      <c r="E56" s="101">
        <f>546448-3000</f>
        <v>543448</v>
      </c>
      <c r="F56" s="101">
        <v>26128</v>
      </c>
      <c r="G56" s="101">
        <v>5182</v>
      </c>
      <c r="H56" s="101">
        <v>0</v>
      </c>
      <c r="I56" s="101">
        <v>0</v>
      </c>
      <c r="J56" s="101">
        <v>0</v>
      </c>
      <c r="K56" s="101">
        <v>0</v>
      </c>
    </row>
    <row r="57" spans="1:11" ht="25.5">
      <c r="A57" s="221"/>
      <c r="B57" s="94" t="s">
        <v>344</v>
      </c>
      <c r="C57" s="95" t="s">
        <v>345</v>
      </c>
      <c r="D57" s="96">
        <f t="shared" si="1"/>
        <v>540000</v>
      </c>
      <c r="E57" s="101">
        <v>540000</v>
      </c>
      <c r="F57" s="101">
        <v>396289</v>
      </c>
      <c r="G57" s="101">
        <v>70500</v>
      </c>
      <c r="H57" s="101">
        <v>0</v>
      </c>
      <c r="I57" s="101">
        <v>0</v>
      </c>
      <c r="J57" s="101">
        <v>0</v>
      </c>
      <c r="K57" s="101">
        <v>0</v>
      </c>
    </row>
    <row r="58" spans="1:11" ht="25.5">
      <c r="A58" s="221"/>
      <c r="B58" s="94" t="s">
        <v>346</v>
      </c>
      <c r="C58" s="95" t="s">
        <v>347</v>
      </c>
      <c r="D58" s="96">
        <f t="shared" si="1"/>
        <v>20000</v>
      </c>
      <c r="E58" s="101">
        <v>20000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>
      <c r="A59" s="221"/>
      <c r="B59" s="94" t="s">
        <v>348</v>
      </c>
      <c r="C59" s="95" t="s">
        <v>202</v>
      </c>
      <c r="D59" s="96">
        <f t="shared" si="1"/>
        <v>96000</v>
      </c>
      <c r="E59" s="101">
        <v>96000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>
      <c r="A60" s="221" t="s">
        <v>349</v>
      </c>
      <c r="B60" s="102"/>
      <c r="C60" s="103" t="s">
        <v>350</v>
      </c>
      <c r="D60" s="104">
        <f>D61+D63+D62</f>
        <v>250000</v>
      </c>
      <c r="E60" s="104">
        <f aca="true" t="shared" si="12" ref="E60:K60">E61+E63+E62</f>
        <v>250000</v>
      </c>
      <c r="F60" s="104">
        <f t="shared" si="12"/>
        <v>82916</v>
      </c>
      <c r="G60" s="104">
        <f t="shared" si="12"/>
        <v>7239</v>
      </c>
      <c r="H60" s="104">
        <f t="shared" si="12"/>
        <v>75000</v>
      </c>
      <c r="I60" s="104">
        <f t="shared" si="12"/>
        <v>0</v>
      </c>
      <c r="J60" s="104">
        <f t="shared" si="12"/>
        <v>0</v>
      </c>
      <c r="K60" s="104">
        <f t="shared" si="12"/>
        <v>0</v>
      </c>
    </row>
    <row r="61" spans="1:11" ht="12.75">
      <c r="A61" s="221"/>
      <c r="B61" s="94" t="s">
        <v>351</v>
      </c>
      <c r="C61" s="95" t="s">
        <v>352</v>
      </c>
      <c r="D61" s="96">
        <f t="shared" si="1"/>
        <v>20000</v>
      </c>
      <c r="E61" s="101">
        <v>20000</v>
      </c>
      <c r="F61" s="101">
        <v>0</v>
      </c>
      <c r="G61" s="101">
        <v>0</v>
      </c>
      <c r="H61" s="101">
        <v>20000</v>
      </c>
      <c r="I61" s="101">
        <v>0</v>
      </c>
      <c r="J61" s="101">
        <v>0</v>
      </c>
      <c r="K61" s="101">
        <f>4!E41</f>
        <v>0</v>
      </c>
    </row>
    <row r="62" spans="1:11" ht="12.75">
      <c r="A62" s="221"/>
      <c r="B62" s="94">
        <v>85153</v>
      </c>
      <c r="C62" s="95" t="s">
        <v>353</v>
      </c>
      <c r="D62" s="96">
        <f>E62+K62</f>
        <v>11000</v>
      </c>
      <c r="E62" s="101">
        <v>11000</v>
      </c>
      <c r="F62" s="101">
        <v>5500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</row>
    <row r="63" spans="1:11" ht="12.75">
      <c r="A63" s="221"/>
      <c r="B63" s="94" t="s">
        <v>354</v>
      </c>
      <c r="C63" s="95" t="s">
        <v>355</v>
      </c>
      <c r="D63" s="96">
        <f>E63+K63</f>
        <v>219000</v>
      </c>
      <c r="E63" s="101">
        <v>219000</v>
      </c>
      <c r="F63" s="101">
        <v>77416</v>
      </c>
      <c r="G63" s="101">
        <v>7239</v>
      </c>
      <c r="H63" s="101">
        <v>55000</v>
      </c>
      <c r="I63" s="101">
        <v>0</v>
      </c>
      <c r="J63" s="101">
        <v>0</v>
      </c>
      <c r="K63" s="101">
        <v>0</v>
      </c>
    </row>
    <row r="64" spans="1:11" ht="12.75">
      <c r="A64" s="221" t="s">
        <v>279</v>
      </c>
      <c r="B64" s="102"/>
      <c r="C64" s="103" t="s">
        <v>280</v>
      </c>
      <c r="D64" s="104">
        <f>D65+D66+D67+D68+D69+D70+D71+D72</f>
        <v>9949930</v>
      </c>
      <c r="E64" s="104">
        <f aca="true" t="shared" si="13" ref="E64:K64">E65+E66+E67+E68+E69+E70+E71+E72</f>
        <v>9949930</v>
      </c>
      <c r="F64" s="104">
        <f t="shared" si="13"/>
        <v>781554</v>
      </c>
      <c r="G64" s="104">
        <f>G65+G66+G67+G68+G69+G70+G71+G72</f>
        <v>226238</v>
      </c>
      <c r="H64" s="104">
        <f t="shared" si="13"/>
        <v>0</v>
      </c>
      <c r="I64" s="104">
        <f t="shared" si="13"/>
        <v>0</v>
      </c>
      <c r="J64" s="104">
        <f t="shared" si="13"/>
        <v>0</v>
      </c>
      <c r="K64" s="104">
        <f t="shared" si="13"/>
        <v>0</v>
      </c>
    </row>
    <row r="65" spans="1:11" ht="12.75">
      <c r="A65" s="221"/>
      <c r="B65" s="94" t="s">
        <v>356</v>
      </c>
      <c r="C65" s="95" t="s">
        <v>357</v>
      </c>
      <c r="D65" s="96">
        <f t="shared" si="1"/>
        <v>134400</v>
      </c>
      <c r="E65" s="101">
        <v>134400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</row>
    <row r="66" spans="1:11" ht="51">
      <c r="A66" s="221"/>
      <c r="B66" s="94">
        <v>85212</v>
      </c>
      <c r="C66" s="95" t="s">
        <v>282</v>
      </c>
      <c r="D66" s="96">
        <f t="shared" si="1"/>
        <v>7047970</v>
      </c>
      <c r="E66" s="101">
        <v>7047970</v>
      </c>
      <c r="F66" s="101">
        <v>129953</v>
      </c>
      <c r="G66" s="101">
        <v>68853</v>
      </c>
      <c r="H66" s="101">
        <v>0</v>
      </c>
      <c r="I66" s="101">
        <v>0</v>
      </c>
      <c r="J66" s="101">
        <v>0</v>
      </c>
      <c r="K66" s="101">
        <v>0</v>
      </c>
    </row>
    <row r="67" spans="1:11" ht="63.75">
      <c r="A67" s="221"/>
      <c r="B67" s="94">
        <v>85213</v>
      </c>
      <c r="C67" s="95" t="s">
        <v>284</v>
      </c>
      <c r="D67" s="96">
        <f t="shared" si="1"/>
        <v>43274</v>
      </c>
      <c r="E67" s="101">
        <f>G67</f>
        <v>43274</v>
      </c>
      <c r="F67" s="101">
        <v>0</v>
      </c>
      <c r="G67" s="101">
        <v>43274</v>
      </c>
      <c r="H67" s="101">
        <v>0</v>
      </c>
      <c r="I67" s="101">
        <v>0</v>
      </c>
      <c r="J67" s="101">
        <v>0</v>
      </c>
      <c r="K67" s="101">
        <v>0</v>
      </c>
    </row>
    <row r="68" spans="1:11" ht="38.25">
      <c r="A68" s="221"/>
      <c r="B68" s="94" t="s">
        <v>285</v>
      </c>
      <c r="C68" s="95" t="s">
        <v>286</v>
      </c>
      <c r="D68" s="96">
        <f t="shared" si="1"/>
        <v>450000</v>
      </c>
      <c r="E68" s="101">
        <v>450000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</row>
    <row r="69" spans="1:11" ht="12.75">
      <c r="A69" s="221"/>
      <c r="B69" s="94" t="s">
        <v>358</v>
      </c>
      <c r="C69" s="95" t="s">
        <v>359</v>
      </c>
      <c r="D69" s="96">
        <f t="shared" si="1"/>
        <v>900000</v>
      </c>
      <c r="E69" s="101">
        <v>900000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</row>
    <row r="70" spans="1:11" ht="12.75">
      <c r="A70" s="221"/>
      <c r="B70" s="94" t="s">
        <v>289</v>
      </c>
      <c r="C70" s="95" t="s">
        <v>290</v>
      </c>
      <c r="D70" s="96">
        <f t="shared" si="1"/>
        <v>783854</v>
      </c>
      <c r="E70" s="101">
        <v>783854</v>
      </c>
      <c r="F70" s="101">
        <v>594612</v>
      </c>
      <c r="G70" s="101">
        <v>103998</v>
      </c>
      <c r="H70" s="101">
        <v>0</v>
      </c>
      <c r="I70" s="101">
        <v>0</v>
      </c>
      <c r="J70" s="101">
        <v>0</v>
      </c>
      <c r="K70" s="101">
        <v>0</v>
      </c>
    </row>
    <row r="71" spans="1:11" ht="25.5">
      <c r="A71" s="221"/>
      <c r="B71" s="94" t="s">
        <v>291</v>
      </c>
      <c r="C71" s="95" t="s">
        <v>292</v>
      </c>
      <c r="D71" s="96">
        <f t="shared" si="1"/>
        <v>408234</v>
      </c>
      <c r="E71" s="101">
        <v>408234</v>
      </c>
      <c r="F71" s="101">
        <v>56989</v>
      </c>
      <c r="G71" s="101">
        <v>10113</v>
      </c>
      <c r="H71" s="101">
        <v>0</v>
      </c>
      <c r="I71" s="101">
        <v>0</v>
      </c>
      <c r="J71" s="101">
        <v>0</v>
      </c>
      <c r="K71" s="101">
        <v>0</v>
      </c>
    </row>
    <row r="72" spans="1:11" ht="12.75">
      <c r="A72" s="221"/>
      <c r="B72" s="94" t="s">
        <v>295</v>
      </c>
      <c r="C72" s="95" t="s">
        <v>202</v>
      </c>
      <c r="D72" s="96">
        <f t="shared" si="1"/>
        <v>182198</v>
      </c>
      <c r="E72" s="101">
        <v>182198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</row>
    <row r="73" spans="1:11" ht="25.5">
      <c r="A73" s="221" t="s">
        <v>360</v>
      </c>
      <c r="B73" s="102"/>
      <c r="C73" s="103" t="s">
        <v>361</v>
      </c>
      <c r="D73" s="104">
        <f>D74+D75+D76</f>
        <v>640021</v>
      </c>
      <c r="E73" s="104">
        <f aca="true" t="shared" si="14" ref="E73:K73">E74+E75+E76</f>
        <v>640021</v>
      </c>
      <c r="F73" s="104">
        <f t="shared" si="14"/>
        <v>498388</v>
      </c>
      <c r="G73" s="104">
        <f t="shared" si="14"/>
        <v>89267</v>
      </c>
      <c r="H73" s="104">
        <f t="shared" si="14"/>
        <v>0</v>
      </c>
      <c r="I73" s="104">
        <f t="shared" si="14"/>
        <v>0</v>
      </c>
      <c r="J73" s="104">
        <f t="shared" si="14"/>
        <v>0</v>
      </c>
      <c r="K73" s="104">
        <f t="shared" si="14"/>
        <v>0</v>
      </c>
    </row>
    <row r="74" spans="1:11" ht="12.75">
      <c r="A74" s="221"/>
      <c r="B74" s="94" t="s">
        <v>362</v>
      </c>
      <c r="C74" s="95" t="s">
        <v>363</v>
      </c>
      <c r="D74" s="96">
        <f t="shared" si="1"/>
        <v>621866</v>
      </c>
      <c r="E74" s="101">
        <v>621866</v>
      </c>
      <c r="F74" s="101">
        <v>498388</v>
      </c>
      <c r="G74" s="101">
        <v>89267</v>
      </c>
      <c r="H74" s="101">
        <v>0</v>
      </c>
      <c r="I74" s="101">
        <v>0</v>
      </c>
      <c r="J74" s="101">
        <v>0</v>
      </c>
      <c r="K74" s="101">
        <v>0</v>
      </c>
    </row>
    <row r="75" spans="1:11" ht="25.5">
      <c r="A75" s="221"/>
      <c r="B75" s="94" t="s">
        <v>364</v>
      </c>
      <c r="C75" s="95" t="s">
        <v>347</v>
      </c>
      <c r="D75" s="96">
        <f t="shared" si="1"/>
        <v>2955</v>
      </c>
      <c r="E75" s="101">
        <v>2955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</row>
    <row r="76" spans="1:11" ht="12.75">
      <c r="A76" s="221"/>
      <c r="B76" s="94" t="s">
        <v>365</v>
      </c>
      <c r="C76" s="95" t="s">
        <v>202</v>
      </c>
      <c r="D76" s="96">
        <f t="shared" si="1"/>
        <v>15200</v>
      </c>
      <c r="E76" s="101">
        <v>15200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</row>
    <row r="77" spans="1:11" ht="25.5">
      <c r="A77" s="224" t="s">
        <v>366</v>
      </c>
      <c r="B77" s="102"/>
      <c r="C77" s="103" t="s">
        <v>367</v>
      </c>
      <c r="D77" s="104">
        <f>D78+D80+D81+D82+D83+D79</f>
        <v>1517600</v>
      </c>
      <c r="E77" s="104">
        <f aca="true" t="shared" si="15" ref="E77:K77">E78+E80+E81+E82+E83+E79</f>
        <v>1340000</v>
      </c>
      <c r="F77" s="104">
        <f t="shared" si="15"/>
        <v>0</v>
      </c>
      <c r="G77" s="104">
        <f t="shared" si="15"/>
        <v>0</v>
      </c>
      <c r="H77" s="104">
        <f t="shared" si="15"/>
        <v>0</v>
      </c>
      <c r="I77" s="104">
        <f t="shared" si="15"/>
        <v>0</v>
      </c>
      <c r="J77" s="104">
        <f t="shared" si="15"/>
        <v>0</v>
      </c>
      <c r="K77" s="104">
        <f t="shared" si="15"/>
        <v>177600</v>
      </c>
    </row>
    <row r="78" spans="1:11" ht="12.75">
      <c r="A78" s="225"/>
      <c r="B78" s="94" t="s">
        <v>368</v>
      </c>
      <c r="C78" s="95" t="s">
        <v>369</v>
      </c>
      <c r="D78" s="96">
        <f t="shared" si="1"/>
        <v>30000</v>
      </c>
      <c r="E78" s="101">
        <v>30000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</row>
    <row r="79" spans="1:11" ht="12.75">
      <c r="A79" s="225"/>
      <c r="B79" s="94">
        <v>90002</v>
      </c>
      <c r="C79" s="95" t="s">
        <v>370</v>
      </c>
      <c r="D79" s="96">
        <f>E79</f>
        <v>20000</v>
      </c>
      <c r="E79" s="101">
        <v>20000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</row>
    <row r="80" spans="1:11" ht="12.75">
      <c r="A80" s="225"/>
      <c r="B80" s="94" t="s">
        <v>371</v>
      </c>
      <c r="C80" s="95" t="s">
        <v>372</v>
      </c>
      <c r="D80" s="96">
        <f t="shared" si="1"/>
        <v>400000</v>
      </c>
      <c r="E80" s="101">
        <v>400000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</row>
    <row r="81" spans="1:11" ht="25.5">
      <c r="A81" s="225"/>
      <c r="B81" s="94" t="s">
        <v>373</v>
      </c>
      <c r="C81" s="95" t="s">
        <v>374</v>
      </c>
      <c r="D81" s="96">
        <f t="shared" si="1"/>
        <v>140000</v>
      </c>
      <c r="E81" s="101">
        <v>140000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</row>
    <row r="82" spans="1:11" ht="12.75">
      <c r="A82" s="225"/>
      <c r="B82" s="94" t="s">
        <v>375</v>
      </c>
      <c r="C82" s="95" t="s">
        <v>376</v>
      </c>
      <c r="D82" s="96">
        <f t="shared" si="1"/>
        <v>786600</v>
      </c>
      <c r="E82" s="101">
        <v>700000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f>3!G47+4!F47+4!F48</f>
        <v>86600</v>
      </c>
    </row>
    <row r="83" spans="1:11" ht="12.75">
      <c r="A83" s="226"/>
      <c r="B83" s="94" t="s">
        <v>377</v>
      </c>
      <c r="C83" s="95" t="s">
        <v>202</v>
      </c>
      <c r="D83" s="96">
        <f t="shared" si="1"/>
        <v>141000</v>
      </c>
      <c r="E83" s="101">
        <v>50000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f>3!G49+3!G48+4!E54+4!E53</f>
        <v>91000</v>
      </c>
    </row>
    <row r="84" spans="1:11" ht="25.5">
      <c r="A84" s="221" t="s">
        <v>378</v>
      </c>
      <c r="B84" s="102"/>
      <c r="C84" s="103" t="s">
        <v>379</v>
      </c>
      <c r="D84" s="104">
        <f>D85+D86+D87+D88</f>
        <v>1409000</v>
      </c>
      <c r="E84" s="104">
        <f aca="true" t="shared" si="16" ref="E84:K84">E85+E86+E87+E88</f>
        <v>1409000</v>
      </c>
      <c r="F84" s="104">
        <f t="shared" si="16"/>
        <v>0</v>
      </c>
      <c r="G84" s="104">
        <f t="shared" si="16"/>
        <v>0</v>
      </c>
      <c r="H84" s="104">
        <f t="shared" si="16"/>
        <v>1384000</v>
      </c>
      <c r="I84" s="104">
        <f t="shared" si="16"/>
        <v>0</v>
      </c>
      <c r="J84" s="104">
        <f t="shared" si="16"/>
        <v>0</v>
      </c>
      <c r="K84" s="104">
        <f t="shared" si="16"/>
        <v>0</v>
      </c>
    </row>
    <row r="85" spans="1:11" ht="25.5">
      <c r="A85" s="221"/>
      <c r="B85" s="94" t="s">
        <v>380</v>
      </c>
      <c r="C85" s="95" t="s">
        <v>381</v>
      </c>
      <c r="D85" s="96">
        <f t="shared" si="1"/>
        <v>588000</v>
      </c>
      <c r="E85" s="101">
        <f>H85</f>
        <v>588000</v>
      </c>
      <c r="F85" s="101">
        <v>0</v>
      </c>
      <c r="G85" s="101">
        <v>0</v>
      </c>
      <c r="H85" s="101">
        <v>588000</v>
      </c>
      <c r="I85" s="101">
        <v>0</v>
      </c>
      <c r="J85" s="101">
        <v>0</v>
      </c>
      <c r="K85" s="101">
        <v>0</v>
      </c>
    </row>
    <row r="86" spans="1:11" ht="12.75">
      <c r="A86" s="221"/>
      <c r="B86" s="94" t="s">
        <v>382</v>
      </c>
      <c r="C86" s="95" t="s">
        <v>383</v>
      </c>
      <c r="D86" s="96">
        <f t="shared" si="1"/>
        <v>593000</v>
      </c>
      <c r="E86" s="101">
        <f>H86</f>
        <v>593000</v>
      </c>
      <c r="F86" s="101">
        <v>0</v>
      </c>
      <c r="G86" s="101">
        <v>0</v>
      </c>
      <c r="H86" s="101">
        <v>593000</v>
      </c>
      <c r="I86" s="101">
        <v>0</v>
      </c>
      <c r="J86" s="101">
        <v>0</v>
      </c>
      <c r="K86" s="101">
        <v>0</v>
      </c>
    </row>
    <row r="87" spans="1:11" ht="12.75">
      <c r="A87" s="221"/>
      <c r="B87" s="94" t="s">
        <v>384</v>
      </c>
      <c r="C87" s="95" t="s">
        <v>385</v>
      </c>
      <c r="D87" s="96">
        <f aca="true" t="shared" si="17" ref="D87:D93">E87+K87</f>
        <v>203000</v>
      </c>
      <c r="E87" s="101">
        <f>H87</f>
        <v>203000</v>
      </c>
      <c r="F87" s="101">
        <v>0</v>
      </c>
      <c r="G87" s="101">
        <v>0</v>
      </c>
      <c r="H87" s="101">
        <v>203000</v>
      </c>
      <c r="I87" s="101">
        <v>0</v>
      </c>
      <c r="J87" s="101">
        <v>0</v>
      </c>
      <c r="K87" s="101">
        <v>0</v>
      </c>
    </row>
    <row r="88" spans="1:11" ht="12.75">
      <c r="A88" s="221"/>
      <c r="B88" s="94" t="s">
        <v>386</v>
      </c>
      <c r="C88" s="95" t="s">
        <v>202</v>
      </c>
      <c r="D88" s="96">
        <f t="shared" si="17"/>
        <v>25000</v>
      </c>
      <c r="E88" s="101">
        <v>25000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</row>
    <row r="89" spans="1:11" ht="12.75">
      <c r="A89" s="221" t="s">
        <v>387</v>
      </c>
      <c r="B89" s="102"/>
      <c r="C89" s="103" t="s">
        <v>388</v>
      </c>
      <c r="D89" s="104">
        <f>D90+D93</f>
        <v>860000</v>
      </c>
      <c r="E89" s="104">
        <f aca="true" t="shared" si="18" ref="E89:K89">E90+E93</f>
        <v>860000</v>
      </c>
      <c r="F89" s="104">
        <f t="shared" si="18"/>
        <v>0</v>
      </c>
      <c r="G89" s="104">
        <f t="shared" si="18"/>
        <v>0</v>
      </c>
      <c r="H89" s="104">
        <f t="shared" si="18"/>
        <v>770000</v>
      </c>
      <c r="I89" s="104">
        <f t="shared" si="18"/>
        <v>0</v>
      </c>
      <c r="J89" s="104">
        <f t="shared" si="18"/>
        <v>0</v>
      </c>
      <c r="K89" s="104">
        <f t="shared" si="18"/>
        <v>0</v>
      </c>
    </row>
    <row r="90" spans="1:11" ht="12.75">
      <c r="A90" s="221"/>
      <c r="B90" s="228" t="s">
        <v>389</v>
      </c>
      <c r="C90" s="95" t="s">
        <v>390</v>
      </c>
      <c r="D90" s="96">
        <f t="shared" si="17"/>
        <v>770000</v>
      </c>
      <c r="E90" s="101">
        <f>H90</f>
        <v>770000</v>
      </c>
      <c r="F90" s="101">
        <f aca="true" t="shared" si="19" ref="F90:K90">F91+F92</f>
        <v>0</v>
      </c>
      <c r="G90" s="101">
        <f t="shared" si="19"/>
        <v>0</v>
      </c>
      <c r="H90" s="101">
        <f t="shared" si="19"/>
        <v>770000</v>
      </c>
      <c r="I90" s="101">
        <f t="shared" si="19"/>
        <v>0</v>
      </c>
      <c r="J90" s="101">
        <f t="shared" si="19"/>
        <v>0</v>
      </c>
      <c r="K90" s="101">
        <f t="shared" si="19"/>
        <v>0</v>
      </c>
    </row>
    <row r="91" spans="1:11" ht="12.75">
      <c r="A91" s="221"/>
      <c r="B91" s="228"/>
      <c r="C91" s="95" t="s">
        <v>391</v>
      </c>
      <c r="D91" s="96">
        <f t="shared" si="17"/>
        <v>640000</v>
      </c>
      <c r="E91" s="101">
        <v>640000</v>
      </c>
      <c r="F91" s="101">
        <v>0</v>
      </c>
      <c r="G91" s="101">
        <v>0</v>
      </c>
      <c r="H91" s="101">
        <v>640000</v>
      </c>
      <c r="I91" s="101">
        <v>0</v>
      </c>
      <c r="J91" s="101">
        <v>0</v>
      </c>
      <c r="K91" s="101">
        <v>0</v>
      </c>
    </row>
    <row r="92" spans="1:11" ht="12.75">
      <c r="A92" s="221"/>
      <c r="B92" s="228"/>
      <c r="C92" s="95" t="s">
        <v>392</v>
      </c>
      <c r="D92" s="96">
        <f t="shared" si="17"/>
        <v>130000</v>
      </c>
      <c r="E92" s="101">
        <f>H92</f>
        <v>130000</v>
      </c>
      <c r="F92" s="101">
        <v>0</v>
      </c>
      <c r="G92" s="101">
        <v>0</v>
      </c>
      <c r="H92" s="101">
        <f>70000+60000</f>
        <v>130000</v>
      </c>
      <c r="I92" s="101">
        <v>0</v>
      </c>
      <c r="J92" s="101">
        <v>0</v>
      </c>
      <c r="K92" s="101">
        <v>0</v>
      </c>
    </row>
    <row r="93" spans="1:11" ht="12.75">
      <c r="A93" s="221"/>
      <c r="B93" s="94" t="s">
        <v>393</v>
      </c>
      <c r="C93" s="95" t="s">
        <v>202</v>
      </c>
      <c r="D93" s="96">
        <f t="shared" si="17"/>
        <v>90000</v>
      </c>
      <c r="E93" s="101">
        <v>90000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</row>
    <row r="94" spans="1:11" ht="15.75">
      <c r="A94" s="227" t="s">
        <v>25</v>
      </c>
      <c r="B94" s="227"/>
      <c r="C94" s="227"/>
      <c r="D94" s="107">
        <f>D89+D84+D77+D73+D64+D60+D51+D46+D44+D36+D38+D30+D27+D23+D21+D18+D11+D49</f>
        <v>46553141</v>
      </c>
      <c r="E94" s="107">
        <f>E89+E84+E77+E73+E64+E60+E51+E46+E44+E36+E38+E30+E27+E23+E21+E18+E11+E49</f>
        <v>39496741</v>
      </c>
      <c r="F94" s="107">
        <f aca="true" t="shared" si="20" ref="F94:K94">F89+F84+F77+F73+F64+F60+F51+F46+F44+F36+F38+F30+F27+F23+F21+F18+F11+F49</f>
        <v>14718722</v>
      </c>
      <c r="G94" s="107">
        <f t="shared" si="20"/>
        <v>2705470</v>
      </c>
      <c r="H94" s="107">
        <f t="shared" si="20"/>
        <v>4250400</v>
      </c>
      <c r="I94" s="107">
        <f t="shared" si="20"/>
        <v>400000</v>
      </c>
      <c r="J94" s="107">
        <f t="shared" si="20"/>
        <v>211603</v>
      </c>
      <c r="K94" s="107">
        <f t="shared" si="20"/>
        <v>7056400</v>
      </c>
    </row>
    <row r="96" spans="4:8" ht="12.75">
      <c r="D96" s="108"/>
      <c r="E96" s="108"/>
      <c r="F96" s="108"/>
      <c r="H96" s="108"/>
    </row>
    <row r="97" spans="4:11" ht="12.75">
      <c r="D97" s="108"/>
      <c r="E97" s="108"/>
      <c r="F97" s="108"/>
      <c r="K97" s="108"/>
    </row>
    <row r="98" spans="4:5" ht="12.75">
      <c r="D98" s="108"/>
      <c r="E98" s="108"/>
    </row>
    <row r="100" spans="4:5" ht="12.75">
      <c r="D100" s="108"/>
      <c r="E100" s="108"/>
    </row>
    <row r="101" spans="4:5" ht="12.75">
      <c r="D101" s="108"/>
      <c r="E101" s="108"/>
    </row>
    <row r="102" ht="12.75">
      <c r="E102" s="108"/>
    </row>
    <row r="104" ht="12.75">
      <c r="E104" s="108"/>
    </row>
  </sheetData>
  <sheetProtection/>
  <protectedRanges>
    <protectedRange password="DE7F" sqref="E12:J17" name="Zakres1"/>
  </protectedRanges>
  <mergeCells count="33">
    <mergeCell ref="A77:A83"/>
    <mergeCell ref="A94:C94"/>
    <mergeCell ref="A49:A50"/>
    <mergeCell ref="A89:A93"/>
    <mergeCell ref="B90:B92"/>
    <mergeCell ref="A60:A63"/>
    <mergeCell ref="A64:A72"/>
    <mergeCell ref="A73:A76"/>
    <mergeCell ref="A84:A86"/>
    <mergeCell ref="A87:A88"/>
    <mergeCell ref="A21:A22"/>
    <mergeCell ref="A23:A26"/>
    <mergeCell ref="A44:A45"/>
    <mergeCell ref="A46:A48"/>
    <mergeCell ref="A27:A29"/>
    <mergeCell ref="A36:A37"/>
    <mergeCell ref="A38:A43"/>
    <mergeCell ref="A30:A31"/>
    <mergeCell ref="A32:A35"/>
    <mergeCell ref="E8:E9"/>
    <mergeCell ref="K8:K9"/>
    <mergeCell ref="A11:A17"/>
    <mergeCell ref="A18:A20"/>
    <mergeCell ref="H1:K3"/>
    <mergeCell ref="A51:A57"/>
    <mergeCell ref="A58:A59"/>
    <mergeCell ref="A4:K4"/>
    <mergeCell ref="D7:D9"/>
    <mergeCell ref="A7:A9"/>
    <mergeCell ref="C7:C9"/>
    <mergeCell ref="B7:B9"/>
    <mergeCell ref="E7:K7"/>
    <mergeCell ref="F8:J8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B52">
      <selection activeCell="B28" sqref="B2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229" t="s">
        <v>500</v>
      </c>
      <c r="N1" s="229"/>
      <c r="O1" s="229"/>
    </row>
    <row r="2" spans="13:15" ht="12.75">
      <c r="M2" s="229"/>
      <c r="N2" s="229"/>
      <c r="O2" s="229"/>
    </row>
    <row r="3" spans="13:15" ht="12.75">
      <c r="M3" s="229"/>
      <c r="N3" s="229"/>
      <c r="O3" s="229"/>
    </row>
    <row r="4" spans="13:15" ht="12.75">
      <c r="M4" s="229"/>
      <c r="N4" s="229"/>
      <c r="O4" s="229"/>
    </row>
    <row r="5" spans="1:15" ht="18">
      <c r="A5" s="231" t="s">
        <v>482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14</v>
      </c>
    </row>
    <row r="7" spans="1:15" s="17" customFormat="1" ht="19.5" customHeight="1">
      <c r="A7" s="232" t="s">
        <v>18</v>
      </c>
      <c r="B7" s="232" t="s">
        <v>1</v>
      </c>
      <c r="C7" s="232" t="s">
        <v>13</v>
      </c>
      <c r="D7" s="230" t="s">
        <v>39</v>
      </c>
      <c r="E7" s="230" t="s">
        <v>19</v>
      </c>
      <c r="F7" s="230" t="s">
        <v>48</v>
      </c>
      <c r="G7" s="230" t="s">
        <v>22</v>
      </c>
      <c r="H7" s="230"/>
      <c r="I7" s="230"/>
      <c r="J7" s="230"/>
      <c r="K7" s="230"/>
      <c r="L7" s="230"/>
      <c r="M7" s="230"/>
      <c r="N7" s="230"/>
      <c r="O7" s="230" t="s">
        <v>20</v>
      </c>
    </row>
    <row r="8" spans="1:15" s="17" customFormat="1" ht="19.5" customHeight="1">
      <c r="A8" s="232"/>
      <c r="B8" s="232"/>
      <c r="C8" s="232"/>
      <c r="D8" s="230"/>
      <c r="E8" s="230"/>
      <c r="F8" s="230"/>
      <c r="G8" s="230" t="s">
        <v>49</v>
      </c>
      <c r="H8" s="230" t="s">
        <v>10</v>
      </c>
      <c r="I8" s="230"/>
      <c r="J8" s="230"/>
      <c r="K8" s="230"/>
      <c r="L8" s="230" t="s">
        <v>17</v>
      </c>
      <c r="M8" s="230" t="s">
        <v>50</v>
      </c>
      <c r="N8" s="230" t="s">
        <v>51</v>
      </c>
      <c r="O8" s="230"/>
    </row>
    <row r="9" spans="1:15" s="17" customFormat="1" ht="29.25" customHeight="1">
      <c r="A9" s="232"/>
      <c r="B9" s="232"/>
      <c r="C9" s="232"/>
      <c r="D9" s="230"/>
      <c r="E9" s="230"/>
      <c r="F9" s="230"/>
      <c r="G9" s="230"/>
      <c r="H9" s="230" t="s">
        <v>41</v>
      </c>
      <c r="I9" s="230" t="s">
        <v>37</v>
      </c>
      <c r="J9" s="230" t="s">
        <v>42</v>
      </c>
      <c r="K9" s="230" t="s">
        <v>38</v>
      </c>
      <c r="L9" s="230"/>
      <c r="M9" s="230"/>
      <c r="N9" s="230"/>
      <c r="O9" s="230"/>
    </row>
    <row r="10" spans="1:15" s="17" customFormat="1" ht="19.5" customHeight="1">
      <c r="A10" s="232"/>
      <c r="B10" s="232"/>
      <c r="C10" s="232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s="17" customFormat="1" ht="19.5" customHeight="1">
      <c r="A11" s="232"/>
      <c r="B11" s="232"/>
      <c r="C11" s="232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ht="51">
      <c r="A13" s="109" t="s">
        <v>6</v>
      </c>
      <c r="B13" s="110" t="s">
        <v>171</v>
      </c>
      <c r="C13" s="110" t="s">
        <v>173</v>
      </c>
      <c r="D13" s="111" t="s">
        <v>394</v>
      </c>
      <c r="E13" s="112">
        <f>G13+L13+M13+N13+F13</f>
        <v>213000</v>
      </c>
      <c r="F13" s="112">
        <v>23000</v>
      </c>
      <c r="G13" s="112">
        <v>0</v>
      </c>
      <c r="H13" s="112">
        <f>G13</f>
        <v>0</v>
      </c>
      <c r="I13" s="112">
        <v>0</v>
      </c>
      <c r="J13" s="113" t="s">
        <v>395</v>
      </c>
      <c r="K13" s="112">
        <v>0</v>
      </c>
      <c r="L13" s="112">
        <v>190000</v>
      </c>
      <c r="M13" s="112">
        <v>0</v>
      </c>
      <c r="N13" s="112">
        <v>0</v>
      </c>
      <c r="O13" s="114" t="s">
        <v>396</v>
      </c>
    </row>
    <row r="14" spans="1:15" ht="51">
      <c r="A14" s="109" t="s">
        <v>7</v>
      </c>
      <c r="B14" s="110" t="s">
        <v>171</v>
      </c>
      <c r="C14" s="110" t="s">
        <v>173</v>
      </c>
      <c r="D14" s="111" t="s">
        <v>397</v>
      </c>
      <c r="E14" s="112">
        <f aca="true" t="shared" si="0" ref="E14:E54">G14+L14+M14+N14+F14</f>
        <v>231000</v>
      </c>
      <c r="F14" s="112">
        <v>14000</v>
      </c>
      <c r="G14" s="112">
        <f>H14+I14</f>
        <v>217000</v>
      </c>
      <c r="H14" s="112">
        <f>60000+205235-80000-3000</f>
        <v>182235</v>
      </c>
      <c r="I14" s="112">
        <v>34765</v>
      </c>
      <c r="J14" s="113" t="s">
        <v>395</v>
      </c>
      <c r="K14" s="112">
        <v>0</v>
      </c>
      <c r="L14" s="112">
        <v>0</v>
      </c>
      <c r="M14" s="112">
        <v>0</v>
      </c>
      <c r="N14" s="112">
        <v>0</v>
      </c>
      <c r="O14" s="114" t="s">
        <v>396</v>
      </c>
    </row>
    <row r="15" spans="1:15" ht="51">
      <c r="A15" s="109" t="s">
        <v>8</v>
      </c>
      <c r="B15" s="110" t="s">
        <v>171</v>
      </c>
      <c r="C15" s="110" t="s">
        <v>173</v>
      </c>
      <c r="D15" s="111" t="s">
        <v>398</v>
      </c>
      <c r="E15" s="112">
        <f t="shared" si="0"/>
        <v>128500</v>
      </c>
      <c r="F15" s="112">
        <v>8500</v>
      </c>
      <c r="G15" s="112">
        <v>0</v>
      </c>
      <c r="H15" s="112">
        <v>0</v>
      </c>
      <c r="I15" s="112">
        <v>0</v>
      </c>
      <c r="J15" s="113" t="s">
        <v>395</v>
      </c>
      <c r="K15" s="112">
        <v>0</v>
      </c>
      <c r="L15" s="112">
        <v>120000</v>
      </c>
      <c r="M15" s="112">
        <v>0</v>
      </c>
      <c r="N15" s="112">
        <v>0</v>
      </c>
      <c r="O15" s="114" t="s">
        <v>396</v>
      </c>
    </row>
    <row r="16" spans="1:15" ht="51">
      <c r="A16" s="109" t="s">
        <v>0</v>
      </c>
      <c r="B16" s="110" t="s">
        <v>171</v>
      </c>
      <c r="C16" s="110" t="s">
        <v>173</v>
      </c>
      <c r="D16" s="111" t="s">
        <v>399</v>
      </c>
      <c r="E16" s="112">
        <f t="shared" si="0"/>
        <v>202000</v>
      </c>
      <c r="F16" s="112">
        <v>132500</v>
      </c>
      <c r="G16" s="112">
        <f>180000-54000-50000-6500</f>
        <v>69500</v>
      </c>
      <c r="H16" s="112">
        <f>G16</f>
        <v>69500</v>
      </c>
      <c r="I16" s="112">
        <v>0</v>
      </c>
      <c r="J16" s="113" t="s">
        <v>395</v>
      </c>
      <c r="K16" s="112">
        <v>0</v>
      </c>
      <c r="L16" s="112">
        <v>0</v>
      </c>
      <c r="M16" s="112">
        <v>0</v>
      </c>
      <c r="N16" s="112">
        <v>0</v>
      </c>
      <c r="O16" s="114" t="s">
        <v>396</v>
      </c>
    </row>
    <row r="17" spans="1:15" ht="51">
      <c r="A17" s="109" t="s">
        <v>127</v>
      </c>
      <c r="B17" s="110" t="s">
        <v>171</v>
      </c>
      <c r="C17" s="110" t="s">
        <v>173</v>
      </c>
      <c r="D17" s="111" t="s">
        <v>400</v>
      </c>
      <c r="E17" s="112">
        <f t="shared" si="0"/>
        <v>170000</v>
      </c>
      <c r="F17" s="112">
        <v>30000</v>
      </c>
      <c r="G17" s="112">
        <v>0</v>
      </c>
      <c r="H17" s="112">
        <v>0</v>
      </c>
      <c r="I17" s="112">
        <v>0</v>
      </c>
      <c r="J17" s="113" t="s">
        <v>395</v>
      </c>
      <c r="K17" s="112">
        <v>0</v>
      </c>
      <c r="L17" s="112">
        <v>140000</v>
      </c>
      <c r="M17" s="112">
        <v>0</v>
      </c>
      <c r="N17" s="112">
        <v>0</v>
      </c>
      <c r="O17" s="114" t="s">
        <v>396</v>
      </c>
    </row>
    <row r="18" spans="1:15" ht="51">
      <c r="A18" s="109" t="s">
        <v>141</v>
      </c>
      <c r="B18" s="110" t="s">
        <v>171</v>
      </c>
      <c r="C18" s="110" t="s">
        <v>173</v>
      </c>
      <c r="D18" s="111" t="s">
        <v>401</v>
      </c>
      <c r="E18" s="112">
        <f t="shared" si="0"/>
        <v>210000</v>
      </c>
      <c r="F18" s="112">
        <v>30000</v>
      </c>
      <c r="G18" s="112">
        <f>10000-10000</f>
        <v>0</v>
      </c>
      <c r="H18" s="112">
        <v>0</v>
      </c>
      <c r="I18" s="112">
        <v>0</v>
      </c>
      <c r="J18" s="113" t="s">
        <v>395</v>
      </c>
      <c r="K18" s="112">
        <v>0</v>
      </c>
      <c r="L18" s="112">
        <v>180000</v>
      </c>
      <c r="M18" s="112">
        <v>0</v>
      </c>
      <c r="N18" s="112">
        <v>0</v>
      </c>
      <c r="O18" s="114" t="s">
        <v>396</v>
      </c>
    </row>
    <row r="19" spans="1:15" ht="51">
      <c r="A19" s="109" t="s">
        <v>144</v>
      </c>
      <c r="B19" s="110" t="s">
        <v>171</v>
      </c>
      <c r="C19" s="110" t="s">
        <v>173</v>
      </c>
      <c r="D19" s="111" t="s">
        <v>402</v>
      </c>
      <c r="E19" s="112">
        <f t="shared" si="0"/>
        <v>97500</v>
      </c>
      <c r="F19" s="112">
        <v>50000</v>
      </c>
      <c r="G19" s="112">
        <f>H19</f>
        <v>47500</v>
      </c>
      <c r="H19" s="112">
        <f>10000+45000-7500</f>
        <v>47500</v>
      </c>
      <c r="I19" s="112">
        <v>0</v>
      </c>
      <c r="J19" s="113" t="s">
        <v>395</v>
      </c>
      <c r="K19" s="112">
        <v>0</v>
      </c>
      <c r="L19" s="112">
        <v>0</v>
      </c>
      <c r="M19" s="112">
        <v>0</v>
      </c>
      <c r="N19" s="112">
        <v>0</v>
      </c>
      <c r="O19" s="114" t="s">
        <v>396</v>
      </c>
    </row>
    <row r="20" spans="1:15" ht="127.5">
      <c r="A20" s="109" t="s">
        <v>147</v>
      </c>
      <c r="B20" s="110" t="s">
        <v>171</v>
      </c>
      <c r="C20" s="110" t="s">
        <v>173</v>
      </c>
      <c r="D20" s="111" t="s">
        <v>403</v>
      </c>
      <c r="E20" s="112">
        <f t="shared" si="0"/>
        <v>1111000</v>
      </c>
      <c r="F20" s="112">
        <v>111000</v>
      </c>
      <c r="G20" s="112">
        <v>0</v>
      </c>
      <c r="H20" s="112">
        <v>0</v>
      </c>
      <c r="I20" s="112">
        <v>0</v>
      </c>
      <c r="J20" s="113" t="s">
        <v>395</v>
      </c>
      <c r="K20" s="112">
        <v>0</v>
      </c>
      <c r="L20" s="112">
        <v>0</v>
      </c>
      <c r="M20" s="112">
        <v>1000000</v>
      </c>
      <c r="N20" s="112">
        <v>0</v>
      </c>
      <c r="O20" s="114" t="s">
        <v>396</v>
      </c>
    </row>
    <row r="21" spans="1:15" ht="63.75">
      <c r="A21" s="109" t="s">
        <v>150</v>
      </c>
      <c r="B21" s="110" t="s">
        <v>171</v>
      </c>
      <c r="C21" s="110" t="s">
        <v>173</v>
      </c>
      <c r="D21" s="115" t="s">
        <v>470</v>
      </c>
      <c r="E21" s="112">
        <f t="shared" si="0"/>
        <v>801000</v>
      </c>
      <c r="F21" s="112">
        <v>0</v>
      </c>
      <c r="G21" s="112">
        <f>200000+255000+1000</f>
        <v>456000</v>
      </c>
      <c r="H21" s="112">
        <f>40000+75000+1000</f>
        <v>116000</v>
      </c>
      <c r="I21" s="112">
        <f>160000+180000</f>
        <v>340000</v>
      </c>
      <c r="J21" s="113" t="s">
        <v>395</v>
      </c>
      <c r="K21" s="112">
        <v>0</v>
      </c>
      <c r="L21" s="112">
        <f>400000-255000</f>
        <v>145000</v>
      </c>
      <c r="M21" s="112">
        <v>200000</v>
      </c>
      <c r="N21" s="112">
        <v>0</v>
      </c>
      <c r="O21" s="114" t="s">
        <v>396</v>
      </c>
    </row>
    <row r="22" spans="1:15" ht="51">
      <c r="A22" s="109" t="s">
        <v>153</v>
      </c>
      <c r="B22" s="110" t="s">
        <v>171</v>
      </c>
      <c r="C22" s="110" t="s">
        <v>173</v>
      </c>
      <c r="D22" s="115" t="s">
        <v>404</v>
      </c>
      <c r="E22" s="112">
        <f t="shared" si="0"/>
        <v>290000</v>
      </c>
      <c r="F22" s="112">
        <v>50000</v>
      </c>
      <c r="G22" s="112">
        <v>0</v>
      </c>
      <c r="H22" s="112">
        <v>0</v>
      </c>
      <c r="I22" s="112">
        <v>0</v>
      </c>
      <c r="J22" s="113" t="s">
        <v>395</v>
      </c>
      <c r="K22" s="112">
        <v>0</v>
      </c>
      <c r="L22" s="112">
        <v>240000</v>
      </c>
      <c r="M22" s="112">
        <v>0</v>
      </c>
      <c r="N22" s="112">
        <v>0</v>
      </c>
      <c r="O22" s="114" t="s">
        <v>396</v>
      </c>
    </row>
    <row r="23" spans="1:15" ht="51">
      <c r="A23" s="109" t="s">
        <v>508</v>
      </c>
      <c r="B23" s="110" t="s">
        <v>171</v>
      </c>
      <c r="C23" s="110" t="s">
        <v>173</v>
      </c>
      <c r="D23" s="115" t="s">
        <v>536</v>
      </c>
      <c r="E23" s="112">
        <f t="shared" si="0"/>
        <v>5760000</v>
      </c>
      <c r="F23" s="112">
        <v>0</v>
      </c>
      <c r="G23" s="112">
        <v>1000000</v>
      </c>
      <c r="H23" s="112">
        <v>1000000</v>
      </c>
      <c r="I23" s="112">
        <v>0</v>
      </c>
      <c r="J23" s="113" t="s">
        <v>395</v>
      </c>
      <c r="K23" s="112">
        <v>0</v>
      </c>
      <c r="L23" s="112">
        <f>3500000+1260000</f>
        <v>4760000</v>
      </c>
      <c r="M23" s="112">
        <v>0</v>
      </c>
      <c r="N23" s="112">
        <v>0</v>
      </c>
      <c r="O23" s="114" t="s">
        <v>396</v>
      </c>
    </row>
    <row r="24" spans="1:15" ht="12.75">
      <c r="A24" s="235" t="s">
        <v>405</v>
      </c>
      <c r="B24" s="235"/>
      <c r="C24" s="235"/>
      <c r="D24" s="235"/>
      <c r="E24" s="116">
        <f>E20+E19+E18+E17+E16+E15+E14+E13+E21+E22+E23</f>
        <v>9214000</v>
      </c>
      <c r="F24" s="116">
        <f>F20+F19+F18+F17+F16+F15+F14+F13+F21+F22+F23</f>
        <v>449000</v>
      </c>
      <c r="G24" s="116">
        <f>G20+G19+G18+G17+G16+G15+G14+G13+G21+G22+G23</f>
        <v>1790000</v>
      </c>
      <c r="H24" s="116">
        <f>H20+H19+H18+H17+H16+H15+H14+H13+H21+H22+H23</f>
        <v>1415235</v>
      </c>
      <c r="I24" s="116">
        <f>I20+I19+I18+I17+I16+I15+I14+I13+I21+I22+I23</f>
        <v>374765</v>
      </c>
      <c r="J24" s="116" t="s">
        <v>406</v>
      </c>
      <c r="K24" s="116">
        <f>K20+K19+K18+K17+K16+K15+K14+K13+K21+K22+K23</f>
        <v>0</v>
      </c>
      <c r="L24" s="116">
        <f>L20+L19+L18+L17+L16+L15+L14+L13+L21+L22+L23</f>
        <v>5775000</v>
      </c>
      <c r="M24" s="116">
        <f>M20+M19+M18+M17+M16+M15+M14+M13+M21+M22+M23</f>
        <v>1200000</v>
      </c>
      <c r="N24" s="116">
        <f>N20+N19+N18+N17+N16+N15+N14+N13+N21+N22</f>
        <v>0</v>
      </c>
      <c r="O24" s="116" t="s">
        <v>406</v>
      </c>
    </row>
    <row r="25" spans="1:15" ht="63.75">
      <c r="A25" s="109">
        <v>12</v>
      </c>
      <c r="B25" s="110" t="s">
        <v>177</v>
      </c>
      <c r="C25" s="109">
        <v>60013</v>
      </c>
      <c r="D25" s="113" t="s">
        <v>407</v>
      </c>
      <c r="E25" s="112">
        <f t="shared" si="0"/>
        <v>50000</v>
      </c>
      <c r="F25" s="112">
        <v>0</v>
      </c>
      <c r="G25" s="112">
        <v>0</v>
      </c>
      <c r="H25" s="112">
        <v>0</v>
      </c>
      <c r="I25" s="112">
        <v>0</v>
      </c>
      <c r="J25" s="113" t="s">
        <v>395</v>
      </c>
      <c r="K25" s="112">
        <v>0</v>
      </c>
      <c r="L25" s="112">
        <v>50000</v>
      </c>
      <c r="M25" s="112">
        <v>0</v>
      </c>
      <c r="N25" s="112">
        <v>0</v>
      </c>
      <c r="O25" s="114" t="s">
        <v>396</v>
      </c>
    </row>
    <row r="26" spans="1:15" ht="114.75">
      <c r="A26" s="109">
        <v>13</v>
      </c>
      <c r="B26" s="110" t="s">
        <v>177</v>
      </c>
      <c r="C26" s="109">
        <v>60013</v>
      </c>
      <c r="D26" s="113" t="s">
        <v>408</v>
      </c>
      <c r="E26" s="112">
        <f t="shared" si="0"/>
        <v>270000</v>
      </c>
      <c r="F26" s="112">
        <v>0</v>
      </c>
      <c r="G26" s="112">
        <f>120000-20000</f>
        <v>100000</v>
      </c>
      <c r="H26" s="112">
        <f>G26</f>
        <v>100000</v>
      </c>
      <c r="I26" s="112">
        <v>0</v>
      </c>
      <c r="J26" s="113" t="s">
        <v>395</v>
      </c>
      <c r="K26" s="112">
        <v>0</v>
      </c>
      <c r="L26" s="112">
        <v>170000</v>
      </c>
      <c r="M26" s="112">
        <v>0</v>
      </c>
      <c r="N26" s="112">
        <v>0</v>
      </c>
      <c r="O26" s="114" t="s">
        <v>396</v>
      </c>
    </row>
    <row r="27" spans="1:15" ht="51">
      <c r="A27" s="109">
        <v>14</v>
      </c>
      <c r="B27" s="110" t="s">
        <v>177</v>
      </c>
      <c r="C27" s="109">
        <v>60016</v>
      </c>
      <c r="D27" s="113" t="s">
        <v>409</v>
      </c>
      <c r="E27" s="112">
        <f t="shared" si="0"/>
        <v>144256</v>
      </c>
      <c r="F27" s="112">
        <v>94256</v>
      </c>
      <c r="G27" s="112">
        <v>50000</v>
      </c>
      <c r="H27" s="112">
        <v>50000</v>
      </c>
      <c r="I27" s="112">
        <v>0</v>
      </c>
      <c r="J27" s="113" t="s">
        <v>395</v>
      </c>
      <c r="K27" s="112">
        <v>0</v>
      </c>
      <c r="L27" s="112">
        <v>0</v>
      </c>
      <c r="M27" s="112">
        <v>0</v>
      </c>
      <c r="N27" s="112">
        <v>0</v>
      </c>
      <c r="O27" s="114" t="s">
        <v>396</v>
      </c>
    </row>
    <row r="28" spans="1:15" ht="63.75">
      <c r="A28" s="109">
        <v>15</v>
      </c>
      <c r="B28" s="110" t="s">
        <v>177</v>
      </c>
      <c r="C28" s="109">
        <v>60016</v>
      </c>
      <c r="D28" s="113" t="s">
        <v>469</v>
      </c>
      <c r="E28" s="112">
        <f t="shared" si="0"/>
        <v>1940262</v>
      </c>
      <c r="F28" s="112">
        <v>341562</v>
      </c>
      <c r="G28" s="112">
        <f>300000+180000+120000+388700</f>
        <v>988700</v>
      </c>
      <c r="H28" s="112">
        <f>G28-I28</f>
        <v>688700</v>
      </c>
      <c r="I28" s="112">
        <v>300000</v>
      </c>
      <c r="J28" s="113" t="s">
        <v>395</v>
      </c>
      <c r="K28" s="112">
        <v>0</v>
      </c>
      <c r="L28" s="112">
        <f>1000000-390000</f>
        <v>610000</v>
      </c>
      <c r="M28" s="112">
        <v>0</v>
      </c>
      <c r="N28" s="112">
        <v>0</v>
      </c>
      <c r="O28" s="114" t="s">
        <v>396</v>
      </c>
    </row>
    <row r="29" spans="1:15" ht="51">
      <c r="A29" s="109">
        <v>16</v>
      </c>
      <c r="B29" s="110" t="s">
        <v>177</v>
      </c>
      <c r="C29" s="109">
        <v>60016</v>
      </c>
      <c r="D29" s="113" t="s">
        <v>501</v>
      </c>
      <c r="E29" s="112">
        <f t="shared" si="0"/>
        <v>4600000</v>
      </c>
      <c r="F29" s="112">
        <v>0</v>
      </c>
      <c r="G29" s="112">
        <v>80000</v>
      </c>
      <c r="H29" s="112">
        <f>G29</f>
        <v>80000</v>
      </c>
      <c r="I29" s="112">
        <v>0</v>
      </c>
      <c r="J29" s="113" t="s">
        <v>395</v>
      </c>
      <c r="K29" s="112"/>
      <c r="L29" s="112">
        <v>4520000</v>
      </c>
      <c r="M29" s="112">
        <v>0</v>
      </c>
      <c r="N29" s="112">
        <v>0</v>
      </c>
      <c r="O29" s="114" t="s">
        <v>396</v>
      </c>
    </row>
    <row r="30" spans="1:15" ht="89.25">
      <c r="A30" s="109">
        <v>17</v>
      </c>
      <c r="B30" s="110" t="s">
        <v>177</v>
      </c>
      <c r="C30" s="109">
        <v>60016</v>
      </c>
      <c r="D30" s="113" t="s">
        <v>433</v>
      </c>
      <c r="E30" s="112">
        <f t="shared" si="0"/>
        <v>2789135</v>
      </c>
      <c r="F30" s="112">
        <v>106000</v>
      </c>
      <c r="G30" s="112">
        <f>H30+I30</f>
        <v>100000</v>
      </c>
      <c r="H30" s="112">
        <v>100000</v>
      </c>
      <c r="I30" s="112">
        <v>0</v>
      </c>
      <c r="J30" s="113" t="s">
        <v>395</v>
      </c>
      <c r="K30" s="112">
        <v>0</v>
      </c>
      <c r="L30" s="112">
        <v>2583135</v>
      </c>
      <c r="M30" s="112">
        <v>0</v>
      </c>
      <c r="N30" s="112">
        <v>0</v>
      </c>
      <c r="O30" s="114" t="s">
        <v>396</v>
      </c>
    </row>
    <row r="31" spans="1:15" ht="127.5">
      <c r="A31" s="109">
        <v>18</v>
      </c>
      <c r="B31" s="110" t="s">
        <v>177</v>
      </c>
      <c r="C31" s="109">
        <v>60016</v>
      </c>
      <c r="D31" s="113" t="s">
        <v>471</v>
      </c>
      <c r="E31" s="112">
        <f t="shared" si="0"/>
        <v>951000</v>
      </c>
      <c r="F31" s="112">
        <v>0</v>
      </c>
      <c r="G31" s="112">
        <f>60000-9000</f>
        <v>51000</v>
      </c>
      <c r="H31" s="112">
        <f>G31</f>
        <v>51000</v>
      </c>
      <c r="I31" s="112">
        <v>0</v>
      </c>
      <c r="J31" s="113" t="s">
        <v>395</v>
      </c>
      <c r="K31" s="112">
        <v>0</v>
      </c>
      <c r="L31" s="112">
        <v>900000</v>
      </c>
      <c r="M31" s="112">
        <v>0</v>
      </c>
      <c r="N31" s="112">
        <v>0</v>
      </c>
      <c r="O31" s="114" t="s">
        <v>396</v>
      </c>
    </row>
    <row r="32" spans="1:15" ht="63.75">
      <c r="A32" s="109">
        <v>19</v>
      </c>
      <c r="B32" s="118">
        <v>600</v>
      </c>
      <c r="C32" s="118">
        <v>60016</v>
      </c>
      <c r="D32" s="111" t="s">
        <v>410</v>
      </c>
      <c r="E32" s="112">
        <f t="shared" si="0"/>
        <v>490219</v>
      </c>
      <c r="F32" s="112">
        <v>100219</v>
      </c>
      <c r="G32" s="119">
        <f>H32+I32</f>
        <v>340000</v>
      </c>
      <c r="H32" s="112">
        <f>100000+150000-40000</f>
        <v>210000</v>
      </c>
      <c r="I32" s="112">
        <v>130000</v>
      </c>
      <c r="J32" s="113" t="s">
        <v>395</v>
      </c>
      <c r="K32" s="112">
        <v>0</v>
      </c>
      <c r="L32" s="112">
        <v>50000</v>
      </c>
      <c r="M32" s="112">
        <v>0</v>
      </c>
      <c r="N32" s="112">
        <v>0</v>
      </c>
      <c r="O32" s="114" t="s">
        <v>396</v>
      </c>
    </row>
    <row r="33" spans="1:15" ht="63.75">
      <c r="A33" s="109">
        <v>20</v>
      </c>
      <c r="B33" s="118">
        <v>600</v>
      </c>
      <c r="C33" s="118">
        <v>60016</v>
      </c>
      <c r="D33" s="111" t="s">
        <v>411</v>
      </c>
      <c r="E33" s="112">
        <f t="shared" si="0"/>
        <v>130000</v>
      </c>
      <c r="F33" s="112">
        <v>0</v>
      </c>
      <c r="G33" s="112">
        <f>30000-20000</f>
        <v>10000</v>
      </c>
      <c r="H33" s="112">
        <f>G33</f>
        <v>10000</v>
      </c>
      <c r="I33" s="112">
        <v>0</v>
      </c>
      <c r="J33" s="113" t="s">
        <v>395</v>
      </c>
      <c r="K33" s="112">
        <v>0</v>
      </c>
      <c r="L33" s="112">
        <v>120000</v>
      </c>
      <c r="M33" s="112">
        <v>0</v>
      </c>
      <c r="N33" s="112">
        <v>0</v>
      </c>
      <c r="O33" s="114" t="s">
        <v>396</v>
      </c>
    </row>
    <row r="34" spans="1:15" ht="63.75">
      <c r="A34" s="109">
        <v>21</v>
      </c>
      <c r="B34" s="118">
        <v>600</v>
      </c>
      <c r="C34" s="118">
        <v>60016</v>
      </c>
      <c r="D34" s="111" t="s">
        <v>412</v>
      </c>
      <c r="E34" s="112">
        <f t="shared" si="0"/>
        <v>125000</v>
      </c>
      <c r="F34" s="112">
        <v>5000</v>
      </c>
      <c r="G34" s="112">
        <v>0</v>
      </c>
      <c r="H34" s="112">
        <v>0</v>
      </c>
      <c r="I34" s="112">
        <v>0</v>
      </c>
      <c r="J34" s="113" t="s">
        <v>395</v>
      </c>
      <c r="K34" s="112">
        <v>0</v>
      </c>
      <c r="L34" s="112">
        <v>120000</v>
      </c>
      <c r="M34" s="112">
        <v>0</v>
      </c>
      <c r="N34" s="112">
        <v>0</v>
      </c>
      <c r="O34" s="114" t="s">
        <v>396</v>
      </c>
    </row>
    <row r="35" spans="1:15" ht="51">
      <c r="A35" s="109">
        <v>22</v>
      </c>
      <c r="B35" s="118">
        <v>600</v>
      </c>
      <c r="C35" s="118">
        <v>60016</v>
      </c>
      <c r="D35" s="111" t="s">
        <v>413</v>
      </c>
      <c r="E35" s="112">
        <f t="shared" si="0"/>
        <v>143000</v>
      </c>
      <c r="F35" s="112">
        <v>0</v>
      </c>
      <c r="G35" s="112">
        <f>H35</f>
        <v>143000</v>
      </c>
      <c r="H35" s="112">
        <f>70000+43000+30000</f>
        <v>143000</v>
      </c>
      <c r="I35" s="112">
        <v>0</v>
      </c>
      <c r="J35" s="113" t="s">
        <v>395</v>
      </c>
      <c r="K35" s="112">
        <v>0</v>
      </c>
      <c r="L35" s="112">
        <v>0</v>
      </c>
      <c r="M35" s="112">
        <v>0</v>
      </c>
      <c r="N35" s="112">
        <v>0</v>
      </c>
      <c r="O35" s="114" t="s">
        <v>396</v>
      </c>
    </row>
    <row r="36" spans="1:15" ht="51">
      <c r="A36" s="109">
        <v>23</v>
      </c>
      <c r="B36" s="118">
        <v>600</v>
      </c>
      <c r="C36" s="118">
        <v>60016</v>
      </c>
      <c r="D36" s="111" t="s">
        <v>516</v>
      </c>
      <c r="E36" s="112">
        <f t="shared" si="0"/>
        <v>910000</v>
      </c>
      <c r="F36" s="112">
        <v>10000</v>
      </c>
      <c r="G36" s="112">
        <f>200000+170000</f>
        <v>370000</v>
      </c>
      <c r="H36" s="112">
        <f>200000+170000</f>
        <v>370000</v>
      </c>
      <c r="I36" s="112">
        <v>0</v>
      </c>
      <c r="J36" s="113" t="s">
        <v>395</v>
      </c>
      <c r="K36" s="112">
        <v>0</v>
      </c>
      <c r="L36" s="112">
        <f>300000+230000</f>
        <v>530000</v>
      </c>
      <c r="M36" s="112">
        <v>0</v>
      </c>
      <c r="N36" s="112">
        <v>0</v>
      </c>
      <c r="O36" s="114" t="s">
        <v>396</v>
      </c>
    </row>
    <row r="37" spans="1:15" ht="51">
      <c r="A37" s="109">
        <v>24</v>
      </c>
      <c r="B37" s="118">
        <v>600</v>
      </c>
      <c r="C37" s="118">
        <v>60016</v>
      </c>
      <c r="D37" s="111" t="s">
        <v>517</v>
      </c>
      <c r="E37" s="112">
        <f t="shared" si="0"/>
        <v>980000</v>
      </c>
      <c r="F37" s="112">
        <v>0</v>
      </c>
      <c r="G37" s="112">
        <v>0</v>
      </c>
      <c r="H37" s="112">
        <v>0</v>
      </c>
      <c r="I37" s="112">
        <v>0</v>
      </c>
      <c r="J37" s="113" t="s">
        <v>395</v>
      </c>
      <c r="K37" s="112">
        <v>0</v>
      </c>
      <c r="L37" s="112">
        <f>400000+10000+90000+480000</f>
        <v>980000</v>
      </c>
      <c r="M37" s="112">
        <v>0</v>
      </c>
      <c r="N37" s="112">
        <v>0</v>
      </c>
      <c r="O37" s="114" t="s">
        <v>396</v>
      </c>
    </row>
    <row r="38" spans="1:15" ht="51">
      <c r="A38" s="109">
        <v>25</v>
      </c>
      <c r="B38" s="118">
        <v>600</v>
      </c>
      <c r="C38" s="118">
        <v>60016</v>
      </c>
      <c r="D38" s="111" t="s">
        <v>518</v>
      </c>
      <c r="E38" s="112">
        <f t="shared" si="0"/>
        <v>197300</v>
      </c>
      <c r="F38" s="112">
        <v>0</v>
      </c>
      <c r="G38" s="112">
        <f>H38</f>
        <v>187300</v>
      </c>
      <c r="H38" s="112">
        <f>80000+107300</f>
        <v>187300</v>
      </c>
      <c r="I38" s="112">
        <v>0</v>
      </c>
      <c r="J38" s="113" t="s">
        <v>395</v>
      </c>
      <c r="K38" s="112">
        <v>0</v>
      </c>
      <c r="L38" s="112">
        <f>220000-210000</f>
        <v>10000</v>
      </c>
      <c r="M38" s="112">
        <v>0</v>
      </c>
      <c r="N38" s="112">
        <v>0</v>
      </c>
      <c r="O38" s="114" t="s">
        <v>396</v>
      </c>
    </row>
    <row r="39" spans="1:15" ht="12.75">
      <c r="A39" s="233" t="s">
        <v>414</v>
      </c>
      <c r="B39" s="233"/>
      <c r="C39" s="233"/>
      <c r="D39" s="233"/>
      <c r="E39" s="116">
        <f>SUM(E25:E38)</f>
        <v>13720172</v>
      </c>
      <c r="F39" s="116">
        <f>SUM(F25:F38)</f>
        <v>657037</v>
      </c>
      <c r="G39" s="116">
        <f>SUM(G25:G38)</f>
        <v>2420000</v>
      </c>
      <c r="H39" s="116">
        <f>SUM(H25:H38)</f>
        <v>1990000</v>
      </c>
      <c r="I39" s="116">
        <f>SUM(I25:I38)</f>
        <v>430000</v>
      </c>
      <c r="J39" s="116" t="s">
        <v>406</v>
      </c>
      <c r="K39" s="116">
        <f>K30+K29</f>
        <v>0</v>
      </c>
      <c r="L39" s="116">
        <f>SUM(L25:L38)</f>
        <v>10643135</v>
      </c>
      <c r="M39" s="116">
        <v>0</v>
      </c>
      <c r="N39" s="116">
        <v>0</v>
      </c>
      <c r="O39" s="117" t="s">
        <v>406</v>
      </c>
    </row>
    <row r="40" spans="1:15" ht="51">
      <c r="A40" s="109">
        <v>26</v>
      </c>
      <c r="B40" s="109">
        <v>700</v>
      </c>
      <c r="C40" s="109">
        <v>70095</v>
      </c>
      <c r="D40" s="111" t="s">
        <v>415</v>
      </c>
      <c r="E40" s="112">
        <f t="shared" si="0"/>
        <v>21000</v>
      </c>
      <c r="F40" s="112">
        <v>21000</v>
      </c>
      <c r="G40" s="112">
        <v>0</v>
      </c>
      <c r="H40" s="112">
        <f>G40</f>
        <v>0</v>
      </c>
      <c r="I40" s="112">
        <v>0</v>
      </c>
      <c r="J40" s="113" t="s">
        <v>395</v>
      </c>
      <c r="K40" s="112">
        <v>0</v>
      </c>
      <c r="L40" s="112">
        <v>0</v>
      </c>
      <c r="M40" s="112">
        <v>0</v>
      </c>
      <c r="N40" s="112">
        <v>0</v>
      </c>
      <c r="O40" s="114" t="s">
        <v>396</v>
      </c>
    </row>
    <row r="41" spans="1:15" ht="102">
      <c r="A41" s="109">
        <v>27</v>
      </c>
      <c r="B41" s="109">
        <v>700</v>
      </c>
      <c r="C41" s="109">
        <v>70095</v>
      </c>
      <c r="D41" s="111" t="s">
        <v>416</v>
      </c>
      <c r="E41" s="112">
        <f t="shared" si="0"/>
        <v>0</v>
      </c>
      <c r="F41" s="112">
        <v>0</v>
      </c>
      <c r="G41" s="112">
        <v>0</v>
      </c>
      <c r="H41" s="112">
        <v>0</v>
      </c>
      <c r="I41" s="112">
        <v>0</v>
      </c>
      <c r="J41" s="113" t="s">
        <v>395</v>
      </c>
      <c r="K41" s="112">
        <v>0</v>
      </c>
      <c r="L41" s="112">
        <v>0</v>
      </c>
      <c r="M41" s="112">
        <v>0</v>
      </c>
      <c r="N41" s="112">
        <v>0</v>
      </c>
      <c r="O41" s="114" t="s">
        <v>396</v>
      </c>
    </row>
    <row r="42" spans="1:15" ht="12.75">
      <c r="A42" s="233" t="s">
        <v>417</v>
      </c>
      <c r="B42" s="233"/>
      <c r="C42" s="233"/>
      <c r="D42" s="233"/>
      <c r="E42" s="116">
        <f>E40+E41</f>
        <v>21000</v>
      </c>
      <c r="F42" s="116">
        <f>F40+F41</f>
        <v>21000</v>
      </c>
      <c r="G42" s="116">
        <f>G40+G41</f>
        <v>0</v>
      </c>
      <c r="H42" s="116">
        <f>H40+H41</f>
        <v>0</v>
      </c>
      <c r="I42" s="116">
        <f>I40+I41</f>
        <v>0</v>
      </c>
      <c r="J42" s="116" t="s">
        <v>406</v>
      </c>
      <c r="K42" s="116">
        <f>K41+K40</f>
        <v>0</v>
      </c>
      <c r="L42" s="116">
        <f>L41+L40</f>
        <v>0</v>
      </c>
      <c r="M42" s="116">
        <f>M41+M40</f>
        <v>0</v>
      </c>
      <c r="N42" s="116">
        <f>N41+N40</f>
        <v>0</v>
      </c>
      <c r="O42" s="116" t="s">
        <v>406</v>
      </c>
    </row>
    <row r="43" spans="1:15" ht="63.75">
      <c r="A43" s="114">
        <v>28</v>
      </c>
      <c r="B43" s="114">
        <v>801</v>
      </c>
      <c r="C43" s="114">
        <v>80101</v>
      </c>
      <c r="D43" s="115" t="s">
        <v>418</v>
      </c>
      <c r="E43" s="112">
        <f t="shared" si="0"/>
        <v>409000</v>
      </c>
      <c r="F43" s="112">
        <v>170000</v>
      </c>
      <c r="G43" s="112">
        <f>250000+27000-10000-20000-8000</f>
        <v>239000</v>
      </c>
      <c r="H43" s="112">
        <f>G43</f>
        <v>239000</v>
      </c>
      <c r="I43" s="112">
        <v>0</v>
      </c>
      <c r="J43" s="113" t="s">
        <v>541</v>
      </c>
      <c r="K43" s="112">
        <v>0</v>
      </c>
      <c r="L43" s="112">
        <v>0</v>
      </c>
      <c r="M43" s="112">
        <v>0</v>
      </c>
      <c r="N43" s="112">
        <v>0</v>
      </c>
      <c r="O43" s="114" t="s">
        <v>396</v>
      </c>
    </row>
    <row r="44" spans="1:15" ht="63.75">
      <c r="A44" s="114">
        <v>29</v>
      </c>
      <c r="B44" s="114">
        <v>801</v>
      </c>
      <c r="C44" s="114">
        <v>80101</v>
      </c>
      <c r="D44" s="115" t="s">
        <v>519</v>
      </c>
      <c r="E44" s="112">
        <f>G44+L44+M44+N44+F44</f>
        <v>3320000</v>
      </c>
      <c r="F44" s="112">
        <v>0</v>
      </c>
      <c r="G44" s="112">
        <f>H44</f>
        <v>20000</v>
      </c>
      <c r="H44" s="112">
        <f>50000-30000</f>
        <v>20000</v>
      </c>
      <c r="I44" s="112">
        <v>0</v>
      </c>
      <c r="J44" s="113" t="s">
        <v>395</v>
      </c>
      <c r="K44" s="112">
        <v>0</v>
      </c>
      <c r="L44" s="112">
        <v>100000</v>
      </c>
      <c r="M44" s="112">
        <v>3200000</v>
      </c>
      <c r="N44" s="112"/>
      <c r="O44" s="114" t="s">
        <v>396</v>
      </c>
    </row>
    <row r="45" spans="1:15" ht="51">
      <c r="A45" s="114">
        <v>30</v>
      </c>
      <c r="B45" s="114">
        <v>801</v>
      </c>
      <c r="C45" s="114">
        <v>80110</v>
      </c>
      <c r="D45" s="115" t="s">
        <v>434</v>
      </c>
      <c r="E45" s="112">
        <f t="shared" si="0"/>
        <v>901000</v>
      </c>
      <c r="F45" s="112">
        <v>0</v>
      </c>
      <c r="G45" s="112">
        <f>3000-2000</f>
        <v>1000</v>
      </c>
      <c r="H45" s="112">
        <f>G45</f>
        <v>1000</v>
      </c>
      <c r="I45" s="112">
        <v>0</v>
      </c>
      <c r="J45" s="113" t="s">
        <v>395</v>
      </c>
      <c r="K45" s="112">
        <v>0</v>
      </c>
      <c r="L45" s="112">
        <v>500000</v>
      </c>
      <c r="M45" s="112">
        <v>400000</v>
      </c>
      <c r="N45" s="112"/>
      <c r="O45" s="114" t="s">
        <v>396</v>
      </c>
    </row>
    <row r="46" spans="1:15" s="127" customFormat="1" ht="51">
      <c r="A46" s="233" t="s">
        <v>419</v>
      </c>
      <c r="B46" s="233"/>
      <c r="C46" s="233"/>
      <c r="D46" s="233"/>
      <c r="E46" s="116">
        <f>E45+E43+E44</f>
        <v>4630000</v>
      </c>
      <c r="F46" s="116">
        <f>F45+F43+F44</f>
        <v>170000</v>
      </c>
      <c r="G46" s="116">
        <f>G45+G43+G44</f>
        <v>260000</v>
      </c>
      <c r="H46" s="116">
        <f>H45+H43+H44</f>
        <v>260000</v>
      </c>
      <c r="I46" s="116">
        <f>I45+I43+I44</f>
        <v>0</v>
      </c>
      <c r="J46" s="126" t="s">
        <v>542</v>
      </c>
      <c r="K46" s="116">
        <f>K45+K43+K44</f>
        <v>0</v>
      </c>
      <c r="L46" s="116">
        <f>L45+L43+L44</f>
        <v>600000</v>
      </c>
      <c r="M46" s="116">
        <f>M45+M43+M44</f>
        <v>3600000</v>
      </c>
      <c r="N46" s="116">
        <f>N45+N43+N44</f>
        <v>0</v>
      </c>
      <c r="O46" s="116" t="s">
        <v>406</v>
      </c>
    </row>
    <row r="47" spans="1:15" ht="63.75">
      <c r="A47" s="109">
        <v>31</v>
      </c>
      <c r="B47" s="110" t="s">
        <v>366</v>
      </c>
      <c r="C47" s="109">
        <v>90015</v>
      </c>
      <c r="D47" s="111" t="s">
        <v>420</v>
      </c>
      <c r="E47" s="112">
        <f>G47+L47+M47+N47+F47</f>
        <v>29100</v>
      </c>
      <c r="F47" s="112">
        <v>4000</v>
      </c>
      <c r="G47" s="112">
        <f>30000-8000+3100</f>
        <v>25100</v>
      </c>
      <c r="H47" s="112">
        <f>G47</f>
        <v>25100</v>
      </c>
      <c r="I47" s="112">
        <v>0</v>
      </c>
      <c r="J47" s="113" t="s">
        <v>395</v>
      </c>
      <c r="K47" s="112">
        <v>0</v>
      </c>
      <c r="L47" s="112">
        <v>0</v>
      </c>
      <c r="M47" s="112">
        <v>0</v>
      </c>
      <c r="N47" s="112">
        <v>0</v>
      </c>
      <c r="O47" s="114" t="s">
        <v>396</v>
      </c>
    </row>
    <row r="48" spans="1:15" ht="51">
      <c r="A48" s="109">
        <v>32</v>
      </c>
      <c r="B48" s="110" t="s">
        <v>366</v>
      </c>
      <c r="C48" s="109">
        <v>90095</v>
      </c>
      <c r="D48" s="111" t="s">
        <v>473</v>
      </c>
      <c r="E48" s="112">
        <f t="shared" si="0"/>
        <v>1401000</v>
      </c>
      <c r="F48" s="112">
        <v>0</v>
      </c>
      <c r="G48" s="112">
        <v>1000</v>
      </c>
      <c r="H48" s="112">
        <f>G48</f>
        <v>1000</v>
      </c>
      <c r="I48" s="112">
        <v>0</v>
      </c>
      <c r="J48" s="113" t="s">
        <v>395</v>
      </c>
      <c r="K48" s="112">
        <v>0</v>
      </c>
      <c r="L48" s="112">
        <v>1400000</v>
      </c>
      <c r="M48" s="112">
        <v>0</v>
      </c>
      <c r="N48" s="112">
        <v>0</v>
      </c>
      <c r="O48" s="114" t="s">
        <v>396</v>
      </c>
    </row>
    <row r="49" spans="1:15" ht="63.75">
      <c r="A49" s="109">
        <v>33</v>
      </c>
      <c r="B49" s="110" t="s">
        <v>366</v>
      </c>
      <c r="C49" s="109">
        <v>90095</v>
      </c>
      <c r="D49" s="111" t="s">
        <v>435</v>
      </c>
      <c r="E49" s="112">
        <f t="shared" si="0"/>
        <v>1880000</v>
      </c>
      <c r="F49" s="112">
        <v>0</v>
      </c>
      <c r="G49" s="112">
        <f>90000-10000</f>
        <v>80000</v>
      </c>
      <c r="H49" s="112">
        <f>G49</f>
        <v>80000</v>
      </c>
      <c r="I49" s="112">
        <v>0</v>
      </c>
      <c r="J49" s="113" t="s">
        <v>395</v>
      </c>
      <c r="K49" s="112">
        <v>0</v>
      </c>
      <c r="L49" s="112">
        <v>800000</v>
      </c>
      <c r="M49" s="112">
        <v>1000000</v>
      </c>
      <c r="N49" s="112">
        <v>0</v>
      </c>
      <c r="O49" s="114" t="s">
        <v>396</v>
      </c>
    </row>
    <row r="50" spans="1:15" ht="51">
      <c r="A50" s="233" t="s">
        <v>421</v>
      </c>
      <c r="B50" s="233"/>
      <c r="C50" s="233"/>
      <c r="D50" s="233"/>
      <c r="E50" s="116">
        <f>E49+E48+E47</f>
        <v>3310100</v>
      </c>
      <c r="F50" s="116">
        <f>F49+F48+F47</f>
        <v>4000</v>
      </c>
      <c r="G50" s="116">
        <f>G49+G48+G47</f>
        <v>106100</v>
      </c>
      <c r="H50" s="116">
        <f>H49+H48+H47</f>
        <v>106100</v>
      </c>
      <c r="I50" s="116">
        <f>I49+I48+I47</f>
        <v>0</v>
      </c>
      <c r="J50" s="113" t="s">
        <v>395</v>
      </c>
      <c r="K50" s="116">
        <f>K49+K48+K47</f>
        <v>0</v>
      </c>
      <c r="L50" s="116">
        <f>L49+L48+L47</f>
        <v>2200000</v>
      </c>
      <c r="M50" s="116">
        <f>M49+M48+M47</f>
        <v>1000000</v>
      </c>
      <c r="N50" s="116">
        <f>N49+N48+N47</f>
        <v>0</v>
      </c>
      <c r="O50" s="120" t="s">
        <v>406</v>
      </c>
    </row>
    <row r="51" spans="1:15" s="128" customFormat="1" ht="89.25">
      <c r="A51" s="114">
        <v>34</v>
      </c>
      <c r="B51" s="114">
        <v>921</v>
      </c>
      <c r="C51" s="114">
        <v>92120</v>
      </c>
      <c r="D51" s="114" t="s">
        <v>524</v>
      </c>
      <c r="E51" s="112">
        <f>F51+G51+L51+N51+M51</f>
        <v>5138500</v>
      </c>
      <c r="F51" s="112">
        <v>30500</v>
      </c>
      <c r="G51" s="112">
        <v>108000</v>
      </c>
      <c r="H51" s="112">
        <v>108000</v>
      </c>
      <c r="I51" s="112">
        <v>0</v>
      </c>
      <c r="J51" s="113" t="s">
        <v>395</v>
      </c>
      <c r="K51" s="112">
        <v>0</v>
      </c>
      <c r="L51" s="112">
        <v>2000000</v>
      </c>
      <c r="M51" s="112">
        <v>2000000</v>
      </c>
      <c r="N51" s="112">
        <v>1000000</v>
      </c>
      <c r="O51" s="114" t="s">
        <v>396</v>
      </c>
    </row>
    <row r="52" spans="1:15" ht="51">
      <c r="A52" s="233" t="s">
        <v>525</v>
      </c>
      <c r="B52" s="233"/>
      <c r="C52" s="233"/>
      <c r="D52" s="233"/>
      <c r="E52" s="116">
        <f>E51</f>
        <v>5138500</v>
      </c>
      <c r="F52" s="116">
        <f aca="true" t="shared" si="1" ref="F52:N52">F51</f>
        <v>30500</v>
      </c>
      <c r="G52" s="116">
        <f t="shared" si="1"/>
        <v>108000</v>
      </c>
      <c r="H52" s="116">
        <f t="shared" si="1"/>
        <v>108000</v>
      </c>
      <c r="I52" s="116">
        <f t="shared" si="1"/>
        <v>0</v>
      </c>
      <c r="J52" s="113" t="s">
        <v>395</v>
      </c>
      <c r="K52" s="116">
        <f t="shared" si="1"/>
        <v>0</v>
      </c>
      <c r="L52" s="116">
        <f t="shared" si="1"/>
        <v>2000000</v>
      </c>
      <c r="M52" s="116">
        <f t="shared" si="1"/>
        <v>2000000</v>
      </c>
      <c r="N52" s="116">
        <f t="shared" si="1"/>
        <v>1000000</v>
      </c>
      <c r="O52" s="116" t="s">
        <v>406</v>
      </c>
    </row>
    <row r="53" spans="1:15" ht="204">
      <c r="A53" s="114">
        <v>35</v>
      </c>
      <c r="B53" s="115">
        <v>926</v>
      </c>
      <c r="C53" s="115">
        <v>92601</v>
      </c>
      <c r="D53" s="115" t="s">
        <v>436</v>
      </c>
      <c r="E53" s="112">
        <f t="shared" si="0"/>
        <v>1000000</v>
      </c>
      <c r="F53" s="112">
        <v>50000</v>
      </c>
      <c r="G53" s="112">
        <v>0</v>
      </c>
      <c r="H53" s="112">
        <v>0</v>
      </c>
      <c r="I53" s="112">
        <v>0</v>
      </c>
      <c r="J53" s="113" t="s">
        <v>395</v>
      </c>
      <c r="K53" s="112">
        <v>0</v>
      </c>
      <c r="L53" s="112">
        <v>950000</v>
      </c>
      <c r="M53" s="112">
        <v>0</v>
      </c>
      <c r="N53" s="112">
        <v>0</v>
      </c>
      <c r="O53" s="114" t="s">
        <v>396</v>
      </c>
    </row>
    <row r="54" spans="1:15" ht="51">
      <c r="A54" s="114">
        <v>36</v>
      </c>
      <c r="B54" s="115">
        <v>926</v>
      </c>
      <c r="C54" s="115">
        <v>92604</v>
      </c>
      <c r="D54" s="115" t="s">
        <v>495</v>
      </c>
      <c r="E54" s="112">
        <f t="shared" si="0"/>
        <v>6140293</v>
      </c>
      <c r="F54" s="112">
        <v>0</v>
      </c>
      <c r="G54" s="112">
        <f>60293-20000</f>
        <v>40293</v>
      </c>
      <c r="H54" s="112">
        <f>G54</f>
        <v>40293</v>
      </c>
      <c r="I54" s="112">
        <v>0</v>
      </c>
      <c r="J54" s="113" t="s">
        <v>395</v>
      </c>
      <c r="K54" s="112">
        <v>0</v>
      </c>
      <c r="L54" s="112">
        <v>100000</v>
      </c>
      <c r="M54" s="112">
        <v>6000000</v>
      </c>
      <c r="N54" s="112">
        <v>0</v>
      </c>
      <c r="O54" s="114" t="s">
        <v>396</v>
      </c>
    </row>
    <row r="55" spans="1:15" ht="12.75">
      <c r="A55" s="233" t="s">
        <v>422</v>
      </c>
      <c r="B55" s="233"/>
      <c r="C55" s="233"/>
      <c r="D55" s="233"/>
      <c r="E55" s="116">
        <f>E53+E54</f>
        <v>7140293</v>
      </c>
      <c r="F55" s="116">
        <f>F53+F54</f>
        <v>50000</v>
      </c>
      <c r="G55" s="116">
        <f>G53+G54</f>
        <v>40293</v>
      </c>
      <c r="H55" s="116">
        <f>H53+H54</f>
        <v>40293</v>
      </c>
      <c r="I55" s="116">
        <f>I53+I54</f>
        <v>0</v>
      </c>
      <c r="J55" s="116" t="s">
        <v>406</v>
      </c>
      <c r="K55" s="116">
        <f>K53+K54</f>
        <v>0</v>
      </c>
      <c r="L55" s="116">
        <f>L53+L54</f>
        <v>1050000</v>
      </c>
      <c r="M55" s="116">
        <f>M53+M54</f>
        <v>6000000</v>
      </c>
      <c r="N55" s="116">
        <f>N53+N54</f>
        <v>0</v>
      </c>
      <c r="O55" s="120" t="s">
        <v>406</v>
      </c>
    </row>
    <row r="56" spans="1:15" ht="51">
      <c r="A56" s="234" t="s">
        <v>40</v>
      </c>
      <c r="B56" s="234"/>
      <c r="C56" s="234"/>
      <c r="D56" s="234"/>
      <c r="E56" s="121">
        <f>E55+E50+E46+E42+E39+E24+E52</f>
        <v>43174065</v>
      </c>
      <c r="F56" s="121">
        <f>F55+F50+F46+F42+F39+F24+F52</f>
        <v>1381537</v>
      </c>
      <c r="G56" s="121">
        <f>G55+G50+G46+G42+G39+G24+G52</f>
        <v>4724393</v>
      </c>
      <c r="H56" s="121">
        <f>H55+H50+H46+H42+H39+H24+H52</f>
        <v>3919628</v>
      </c>
      <c r="I56" s="121">
        <f>I55+I50+I46+I42+I39+I24+I52</f>
        <v>804765</v>
      </c>
      <c r="J56" s="126" t="s">
        <v>542</v>
      </c>
      <c r="K56" s="121">
        <v>0</v>
      </c>
      <c r="L56" s="121">
        <f>L55+L50+L46+L42+L39+L24+L52</f>
        <v>22268135</v>
      </c>
      <c r="M56" s="121">
        <f>M55+M50+M46+M42+M39+M24+M52</f>
        <v>13800000</v>
      </c>
      <c r="N56" s="121">
        <f>N55+N50+N46+N42+N39+N24+N52</f>
        <v>1000000</v>
      </c>
      <c r="O56" s="121" t="s">
        <v>406</v>
      </c>
    </row>
    <row r="57" spans="5:9" ht="12.75">
      <c r="E57" s="108"/>
      <c r="G57" s="108"/>
      <c r="H57" s="108"/>
      <c r="I57" s="108"/>
    </row>
    <row r="58" spans="5:15" ht="12.75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5:9" ht="12.75">
      <c r="E59" s="108"/>
      <c r="G59" s="108"/>
      <c r="I59" s="108"/>
    </row>
    <row r="60" spans="5:9" ht="12.75">
      <c r="E60" s="108"/>
      <c r="G60" s="108"/>
      <c r="I60" s="108"/>
    </row>
    <row r="61" spans="7:8" ht="12.75">
      <c r="G61" s="108"/>
      <c r="H61" s="108"/>
    </row>
    <row r="62" spans="5:7" ht="12.75">
      <c r="E62" s="108"/>
      <c r="G62" s="108"/>
    </row>
    <row r="63" spans="5:7" ht="12.75">
      <c r="E63" s="108"/>
      <c r="G63" s="108"/>
    </row>
    <row r="64" ht="12.75">
      <c r="E64" s="108"/>
    </row>
    <row r="66" ht="12.75">
      <c r="E66" s="108"/>
    </row>
    <row r="67" ht="12.75">
      <c r="E67" s="108"/>
    </row>
    <row r="78" ht="12.75">
      <c r="E78" s="108"/>
    </row>
    <row r="80" ht="12.75">
      <c r="E80" s="108"/>
    </row>
  </sheetData>
  <sheetProtection/>
  <mergeCells count="27">
    <mergeCell ref="A50:D50"/>
    <mergeCell ref="A55:D55"/>
    <mergeCell ref="A56:D56"/>
    <mergeCell ref="A24:D24"/>
    <mergeCell ref="A39:D39"/>
    <mergeCell ref="A42:D42"/>
    <mergeCell ref="A46:D46"/>
    <mergeCell ref="A52:D52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3">
      <selection activeCell="D16" sqref="D1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58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220" t="s">
        <v>522</v>
      </c>
      <c r="I1" s="220"/>
      <c r="J1" s="220"/>
    </row>
    <row r="2" spans="8:10" ht="12.75" customHeight="1">
      <c r="H2" s="220"/>
      <c r="I2" s="220"/>
      <c r="J2" s="220"/>
    </row>
    <row r="3" spans="8:10" ht="12.75">
      <c r="H3" s="220"/>
      <c r="I3" s="220"/>
      <c r="J3" s="220"/>
    </row>
    <row r="4" spans="8:10" ht="12.75">
      <c r="H4" s="220"/>
      <c r="I4" s="220"/>
      <c r="J4" s="220"/>
    </row>
    <row r="5" spans="8:10" ht="12.75">
      <c r="H5" s="220"/>
      <c r="I5" s="220"/>
      <c r="J5" s="220"/>
    </row>
    <row r="6" spans="1:10" ht="18">
      <c r="A6" s="231" t="s">
        <v>483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14</v>
      </c>
    </row>
    <row r="8" spans="1:10" s="17" customFormat="1" ht="19.5" customHeight="1">
      <c r="A8" s="244" t="s">
        <v>18</v>
      </c>
      <c r="B8" s="244" t="s">
        <v>1</v>
      </c>
      <c r="C8" s="244" t="s">
        <v>13</v>
      </c>
      <c r="D8" s="242" t="s">
        <v>44</v>
      </c>
      <c r="E8" s="242" t="s">
        <v>22</v>
      </c>
      <c r="F8" s="242"/>
      <c r="G8" s="242"/>
      <c r="H8" s="242"/>
      <c r="I8" s="242"/>
      <c r="J8" s="242" t="s">
        <v>20</v>
      </c>
    </row>
    <row r="9" spans="1:10" s="17" customFormat="1" ht="19.5" customHeight="1">
      <c r="A9" s="244"/>
      <c r="B9" s="244"/>
      <c r="C9" s="244"/>
      <c r="D9" s="242"/>
      <c r="E9" s="242" t="s">
        <v>52</v>
      </c>
      <c r="F9" s="242" t="s">
        <v>10</v>
      </c>
      <c r="G9" s="242"/>
      <c r="H9" s="242"/>
      <c r="I9" s="242"/>
      <c r="J9" s="242"/>
    </row>
    <row r="10" spans="1:10" s="17" customFormat="1" ht="29.25" customHeight="1">
      <c r="A10" s="244"/>
      <c r="B10" s="244"/>
      <c r="C10" s="244"/>
      <c r="D10" s="242"/>
      <c r="E10" s="242"/>
      <c r="F10" s="242" t="s">
        <v>41</v>
      </c>
      <c r="G10" s="242" t="s">
        <v>37</v>
      </c>
      <c r="H10" s="242" t="s">
        <v>43</v>
      </c>
      <c r="I10" s="242" t="s">
        <v>38</v>
      </c>
      <c r="J10" s="242"/>
    </row>
    <row r="11" spans="1:10" s="17" customFormat="1" ht="19.5" customHeight="1">
      <c r="A11" s="244"/>
      <c r="B11" s="244"/>
      <c r="C11" s="244"/>
      <c r="D11" s="242"/>
      <c r="E11" s="242"/>
      <c r="F11" s="242"/>
      <c r="G11" s="242"/>
      <c r="H11" s="242"/>
      <c r="I11" s="242"/>
      <c r="J11" s="242"/>
    </row>
    <row r="12" spans="1:10" s="17" customFormat="1" ht="19.5" customHeight="1">
      <c r="A12" s="244"/>
      <c r="B12" s="244"/>
      <c r="C12" s="244"/>
      <c r="D12" s="242"/>
      <c r="E12" s="242"/>
      <c r="F12" s="242"/>
      <c r="G12" s="242"/>
      <c r="H12" s="242"/>
      <c r="I12" s="242"/>
      <c r="J12" s="242"/>
    </row>
    <row r="13" spans="1:10" ht="7.5" customHeight="1">
      <c r="A13" s="9">
        <v>1</v>
      </c>
      <c r="B13" s="9">
        <v>2</v>
      </c>
      <c r="C13" s="9">
        <v>3</v>
      </c>
      <c r="D13" s="159">
        <v>4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s="17" customFormat="1" ht="50.25" customHeight="1">
      <c r="A14" s="109">
        <v>1</v>
      </c>
      <c r="B14" s="110" t="s">
        <v>171</v>
      </c>
      <c r="C14" s="110" t="s">
        <v>173</v>
      </c>
      <c r="D14" s="114" t="s">
        <v>504</v>
      </c>
      <c r="E14" s="112">
        <f>F14+G14</f>
        <v>20000</v>
      </c>
      <c r="F14" s="112">
        <f>9000+11000</f>
        <v>20000</v>
      </c>
      <c r="G14" s="109">
        <v>0</v>
      </c>
      <c r="H14" s="113" t="s">
        <v>21</v>
      </c>
      <c r="I14" s="109">
        <v>0</v>
      </c>
      <c r="J14" s="114" t="s">
        <v>396</v>
      </c>
    </row>
    <row r="15" spans="1:10" s="160" customFormat="1" ht="51.75" customHeight="1">
      <c r="A15" s="236" t="s">
        <v>405</v>
      </c>
      <c r="B15" s="237"/>
      <c r="C15" s="237"/>
      <c r="D15" s="238"/>
      <c r="E15" s="116">
        <f>E14</f>
        <v>20000</v>
      </c>
      <c r="F15" s="116">
        <f>F14</f>
        <v>20000</v>
      </c>
      <c r="G15" s="120">
        <f>G14</f>
        <v>0</v>
      </c>
      <c r="H15" s="126" t="s">
        <v>21</v>
      </c>
      <c r="I15" s="120">
        <f>I14</f>
        <v>0</v>
      </c>
      <c r="J15" s="120" t="s">
        <v>406</v>
      </c>
    </row>
    <row r="16" spans="1:10" s="17" customFormat="1" ht="51.75" customHeight="1">
      <c r="A16" s="110" t="s">
        <v>544</v>
      </c>
      <c r="B16" s="110" t="s">
        <v>177</v>
      </c>
      <c r="C16" s="110" t="s">
        <v>304</v>
      </c>
      <c r="D16" s="161" t="s">
        <v>513</v>
      </c>
      <c r="E16" s="112">
        <v>80000</v>
      </c>
      <c r="F16" s="112">
        <v>80000</v>
      </c>
      <c r="G16" s="109">
        <v>0</v>
      </c>
      <c r="H16" s="113" t="s">
        <v>21</v>
      </c>
      <c r="I16" s="109">
        <v>0</v>
      </c>
      <c r="J16" s="114" t="s">
        <v>396</v>
      </c>
    </row>
    <row r="17" spans="1:10" ht="54" customHeight="1">
      <c r="A17" s="109">
        <v>3</v>
      </c>
      <c r="B17" s="109">
        <v>600</v>
      </c>
      <c r="C17" s="109">
        <v>60016</v>
      </c>
      <c r="D17" s="123" t="s">
        <v>423</v>
      </c>
      <c r="E17" s="112">
        <f aca="true" t="shared" si="0" ref="E17:E56">F17+G17</f>
        <v>115000</v>
      </c>
      <c r="F17" s="119">
        <f>100000+60000-45000</f>
        <v>115000</v>
      </c>
      <c r="G17" s="112">
        <v>0</v>
      </c>
      <c r="H17" s="113" t="s">
        <v>21</v>
      </c>
      <c r="I17" s="109">
        <v>0</v>
      </c>
      <c r="J17" s="114" t="s">
        <v>396</v>
      </c>
    </row>
    <row r="18" spans="1:10" ht="60" customHeight="1">
      <c r="A18" s="109">
        <v>4</v>
      </c>
      <c r="B18" s="109">
        <v>600</v>
      </c>
      <c r="C18" s="109">
        <v>60016</v>
      </c>
      <c r="D18" s="123" t="s">
        <v>424</v>
      </c>
      <c r="E18" s="112">
        <f t="shared" si="0"/>
        <v>160000</v>
      </c>
      <c r="F18" s="119">
        <f>36000-20000</f>
        <v>16000</v>
      </c>
      <c r="G18" s="112">
        <v>144000</v>
      </c>
      <c r="H18" s="113" t="s">
        <v>21</v>
      </c>
      <c r="I18" s="109">
        <v>0</v>
      </c>
      <c r="J18" s="114" t="s">
        <v>396</v>
      </c>
    </row>
    <row r="19" spans="1:10" ht="57.75" customHeight="1">
      <c r="A19" s="109">
        <v>5</v>
      </c>
      <c r="B19" s="109">
        <v>600</v>
      </c>
      <c r="C19" s="109">
        <v>60016</v>
      </c>
      <c r="D19" s="123" t="s">
        <v>425</v>
      </c>
      <c r="E19" s="112">
        <f>F19+G19+30000</f>
        <v>178400</v>
      </c>
      <c r="F19" s="119">
        <f>44000-16600</f>
        <v>27400</v>
      </c>
      <c r="G19" s="112">
        <f>176000-55000</f>
        <v>121000</v>
      </c>
      <c r="H19" s="113" t="s">
        <v>530</v>
      </c>
      <c r="I19" s="109">
        <v>0</v>
      </c>
      <c r="J19" s="114" t="s">
        <v>396</v>
      </c>
    </row>
    <row r="20" spans="1:10" ht="57.75" customHeight="1">
      <c r="A20" s="109">
        <v>6</v>
      </c>
      <c r="B20" s="109">
        <v>600</v>
      </c>
      <c r="C20" s="109">
        <v>60016</v>
      </c>
      <c r="D20" s="123" t="s">
        <v>426</v>
      </c>
      <c r="E20" s="112">
        <f t="shared" si="0"/>
        <v>204800</v>
      </c>
      <c r="F20" s="119">
        <f>36000+125000+24800</f>
        <v>185800</v>
      </c>
      <c r="G20" s="112">
        <f>144000-125000</f>
        <v>19000</v>
      </c>
      <c r="H20" s="113" t="s">
        <v>21</v>
      </c>
      <c r="I20" s="109">
        <v>0</v>
      </c>
      <c r="J20" s="114" t="s">
        <v>396</v>
      </c>
    </row>
    <row r="21" spans="1:10" ht="56.25" customHeight="1">
      <c r="A21" s="109">
        <v>7</v>
      </c>
      <c r="B21" s="109">
        <v>600</v>
      </c>
      <c r="C21" s="109">
        <v>60016</v>
      </c>
      <c r="D21" s="123" t="s">
        <v>427</v>
      </c>
      <c r="E21" s="112">
        <f t="shared" si="0"/>
        <v>5000</v>
      </c>
      <c r="F21" s="119">
        <f>10000-5000</f>
        <v>5000</v>
      </c>
      <c r="G21" s="112">
        <v>0</v>
      </c>
      <c r="H21" s="113" t="s">
        <v>21</v>
      </c>
      <c r="I21" s="109">
        <v>0</v>
      </c>
      <c r="J21" s="114" t="s">
        <v>396</v>
      </c>
    </row>
    <row r="22" spans="1:10" ht="54.75" customHeight="1">
      <c r="A22" s="109">
        <v>8</v>
      </c>
      <c r="B22" s="109">
        <v>600</v>
      </c>
      <c r="C22" s="109">
        <v>60016</v>
      </c>
      <c r="D22" s="123" t="s">
        <v>428</v>
      </c>
      <c r="E22" s="112">
        <f t="shared" si="0"/>
        <v>110100</v>
      </c>
      <c r="F22" s="119">
        <f>85000+8500+16600</f>
        <v>110100</v>
      </c>
      <c r="G22" s="112">
        <v>0</v>
      </c>
      <c r="H22" s="113" t="s">
        <v>21</v>
      </c>
      <c r="I22" s="109">
        <v>0</v>
      </c>
      <c r="J22" s="114" t="s">
        <v>396</v>
      </c>
    </row>
    <row r="23" spans="1:10" ht="35.25" customHeight="1">
      <c r="A23" s="109">
        <v>9</v>
      </c>
      <c r="B23" s="109">
        <v>600</v>
      </c>
      <c r="C23" s="109">
        <v>60016</v>
      </c>
      <c r="D23" s="123" t="s">
        <v>489</v>
      </c>
      <c r="E23" s="112">
        <f t="shared" si="0"/>
        <v>733500</v>
      </c>
      <c r="F23" s="119">
        <f>650000+85000-1500</f>
        <v>733500</v>
      </c>
      <c r="G23" s="112">
        <v>0</v>
      </c>
      <c r="H23" s="113" t="s">
        <v>21</v>
      </c>
      <c r="I23" s="109">
        <v>0</v>
      </c>
      <c r="J23" s="114" t="s">
        <v>396</v>
      </c>
    </row>
    <row r="24" spans="1:10" ht="83.25" customHeight="1">
      <c r="A24" s="109">
        <v>10</v>
      </c>
      <c r="B24" s="109">
        <v>600</v>
      </c>
      <c r="C24" s="109">
        <v>60016</v>
      </c>
      <c r="D24" s="123" t="s">
        <v>491</v>
      </c>
      <c r="E24" s="112">
        <f t="shared" si="0"/>
        <v>9000</v>
      </c>
      <c r="F24" s="119">
        <f>5000+4000</f>
        <v>9000</v>
      </c>
      <c r="G24" s="112">
        <v>0</v>
      </c>
      <c r="H24" s="113" t="s">
        <v>21</v>
      </c>
      <c r="I24" s="109">
        <v>0</v>
      </c>
      <c r="J24" s="114" t="s">
        <v>396</v>
      </c>
    </row>
    <row r="25" spans="1:10" ht="60" customHeight="1">
      <c r="A25" s="109">
        <v>11</v>
      </c>
      <c r="B25" s="109">
        <v>600</v>
      </c>
      <c r="C25" s="109">
        <v>60016</v>
      </c>
      <c r="D25" s="123" t="s">
        <v>492</v>
      </c>
      <c r="E25" s="112">
        <f t="shared" si="0"/>
        <v>5000</v>
      </c>
      <c r="F25" s="119">
        <v>5000</v>
      </c>
      <c r="G25" s="112">
        <v>0</v>
      </c>
      <c r="H25" s="113" t="s">
        <v>21</v>
      </c>
      <c r="I25" s="109">
        <v>0</v>
      </c>
      <c r="J25" s="114" t="s">
        <v>396</v>
      </c>
    </row>
    <row r="26" spans="1:10" ht="62.25" customHeight="1">
      <c r="A26" s="109">
        <v>12</v>
      </c>
      <c r="B26" s="109">
        <v>600</v>
      </c>
      <c r="C26" s="109">
        <v>60016</v>
      </c>
      <c r="D26" s="123" t="s">
        <v>505</v>
      </c>
      <c r="E26" s="112">
        <f t="shared" si="0"/>
        <v>80000</v>
      </c>
      <c r="F26" s="119">
        <f>150000-70000</f>
        <v>80000</v>
      </c>
      <c r="G26" s="112">
        <v>0</v>
      </c>
      <c r="H26" s="113" t="s">
        <v>21</v>
      </c>
      <c r="I26" s="109">
        <v>0</v>
      </c>
      <c r="J26" s="114" t="s">
        <v>396</v>
      </c>
    </row>
    <row r="27" spans="1:10" ht="57" customHeight="1">
      <c r="A27" s="109">
        <v>13</v>
      </c>
      <c r="B27" s="109">
        <v>600</v>
      </c>
      <c r="C27" s="109">
        <v>60016</v>
      </c>
      <c r="D27" s="123" t="s">
        <v>507</v>
      </c>
      <c r="E27" s="112">
        <f t="shared" si="0"/>
        <v>53000</v>
      </c>
      <c r="F27" s="119">
        <f>45000+6000+2000</f>
        <v>53000</v>
      </c>
      <c r="G27" s="112">
        <v>0</v>
      </c>
      <c r="H27" s="113" t="s">
        <v>21</v>
      </c>
      <c r="I27" s="109">
        <v>0</v>
      </c>
      <c r="J27" s="114" t="s">
        <v>396</v>
      </c>
    </row>
    <row r="28" spans="1:10" ht="57" customHeight="1">
      <c r="A28" s="109">
        <v>14</v>
      </c>
      <c r="B28" s="109">
        <v>600</v>
      </c>
      <c r="C28" s="109">
        <v>60016</v>
      </c>
      <c r="D28" s="123" t="s">
        <v>511</v>
      </c>
      <c r="E28" s="112">
        <f>F28</f>
        <v>200000</v>
      </c>
      <c r="F28" s="119">
        <f>180000+20000</f>
        <v>200000</v>
      </c>
      <c r="G28" s="112">
        <v>0</v>
      </c>
      <c r="H28" s="113" t="s">
        <v>21</v>
      </c>
      <c r="I28" s="109">
        <v>0</v>
      </c>
      <c r="J28" s="114" t="s">
        <v>396</v>
      </c>
    </row>
    <row r="29" spans="1:10" ht="57" customHeight="1">
      <c r="A29" s="109">
        <v>15</v>
      </c>
      <c r="B29" s="109">
        <v>600</v>
      </c>
      <c r="C29" s="109">
        <v>60016</v>
      </c>
      <c r="D29" s="123" t="s">
        <v>552</v>
      </c>
      <c r="E29" s="112">
        <v>270000</v>
      </c>
      <c r="F29" s="119">
        <v>70000</v>
      </c>
      <c r="G29" s="112">
        <v>200000</v>
      </c>
      <c r="H29" s="113" t="s">
        <v>21</v>
      </c>
      <c r="I29" s="109">
        <v>0</v>
      </c>
      <c r="J29" s="114" t="s">
        <v>396</v>
      </c>
    </row>
    <row r="30" spans="1:11" s="127" customFormat="1" ht="57.75" customHeight="1">
      <c r="A30" s="243" t="s">
        <v>414</v>
      </c>
      <c r="B30" s="243"/>
      <c r="C30" s="243"/>
      <c r="D30" s="243"/>
      <c r="E30" s="129">
        <f>E22+E21+E20+E19+E18+E17+E23+E24+E25+E26+E27+E28+E16+E29</f>
        <v>2203800</v>
      </c>
      <c r="F30" s="129">
        <f>F22+F21+F20+F19+F18+F17+F23+F24+F25+F26+F27+F28+F16+F29</f>
        <v>1689800</v>
      </c>
      <c r="G30" s="129">
        <f>G22+G21+G20+G19+G18+G17+G23+G24+G25+G26+G27+G28+G16+G29</f>
        <v>484000</v>
      </c>
      <c r="H30" s="126" t="s">
        <v>530</v>
      </c>
      <c r="I30" s="120">
        <v>0</v>
      </c>
      <c r="J30" s="117" t="s">
        <v>406</v>
      </c>
      <c r="K30" s="170"/>
    </row>
    <row r="31" spans="1:10" s="128" customFormat="1" ht="57.75" customHeight="1">
      <c r="A31" s="109">
        <v>16</v>
      </c>
      <c r="B31" s="109">
        <v>700</v>
      </c>
      <c r="C31" s="109">
        <v>70005</v>
      </c>
      <c r="D31" s="114" t="s">
        <v>468</v>
      </c>
      <c r="E31" s="112">
        <f t="shared" si="0"/>
        <v>100000</v>
      </c>
      <c r="F31" s="119">
        <v>100000</v>
      </c>
      <c r="G31" s="119">
        <v>0</v>
      </c>
      <c r="H31" s="113" t="s">
        <v>21</v>
      </c>
      <c r="I31" s="109">
        <v>0</v>
      </c>
      <c r="J31" s="114" t="s">
        <v>396</v>
      </c>
    </row>
    <row r="32" spans="1:10" s="127" customFormat="1" ht="57.75" customHeight="1">
      <c r="A32" s="243" t="s">
        <v>417</v>
      </c>
      <c r="B32" s="243"/>
      <c r="C32" s="243"/>
      <c r="D32" s="243"/>
      <c r="E32" s="129">
        <f>E31</f>
        <v>100000</v>
      </c>
      <c r="F32" s="129">
        <f>F31</f>
        <v>100000</v>
      </c>
      <c r="G32" s="129">
        <v>0</v>
      </c>
      <c r="H32" s="126" t="s">
        <v>21</v>
      </c>
      <c r="I32" s="120">
        <v>0</v>
      </c>
      <c r="J32" s="117" t="s">
        <v>406</v>
      </c>
    </row>
    <row r="33" spans="1:10" s="128" customFormat="1" ht="57.75" customHeight="1">
      <c r="A33" s="109">
        <v>17</v>
      </c>
      <c r="B33" s="109">
        <v>750</v>
      </c>
      <c r="C33" s="109">
        <v>75023</v>
      </c>
      <c r="D33" s="123" t="s">
        <v>437</v>
      </c>
      <c r="E33" s="112">
        <f t="shared" si="0"/>
        <v>100000</v>
      </c>
      <c r="F33" s="119">
        <v>100000</v>
      </c>
      <c r="G33" s="119">
        <v>0</v>
      </c>
      <c r="H33" s="113" t="s">
        <v>21</v>
      </c>
      <c r="I33" s="109">
        <v>0</v>
      </c>
      <c r="J33" s="114" t="s">
        <v>396</v>
      </c>
    </row>
    <row r="34" spans="1:10" s="128" customFormat="1" ht="57.75" customHeight="1">
      <c r="A34" s="109">
        <v>18</v>
      </c>
      <c r="B34" s="109">
        <v>750</v>
      </c>
      <c r="C34" s="109">
        <v>75023</v>
      </c>
      <c r="D34" s="123" t="s">
        <v>529</v>
      </c>
      <c r="E34" s="112">
        <v>25000</v>
      </c>
      <c r="F34" s="119">
        <v>20000</v>
      </c>
      <c r="G34" s="119">
        <v>0</v>
      </c>
      <c r="H34" s="113" t="s">
        <v>540</v>
      </c>
      <c r="I34" s="109">
        <v>0</v>
      </c>
      <c r="J34" s="114" t="s">
        <v>396</v>
      </c>
    </row>
    <row r="35" spans="1:10" s="127" customFormat="1" ht="57.75" customHeight="1">
      <c r="A35" s="243" t="s">
        <v>438</v>
      </c>
      <c r="B35" s="243"/>
      <c r="C35" s="243"/>
      <c r="D35" s="243"/>
      <c r="E35" s="129">
        <f>E33+E34</f>
        <v>125000</v>
      </c>
      <c r="F35" s="129">
        <f>F33+F34</f>
        <v>120000</v>
      </c>
      <c r="G35" s="129">
        <v>0</v>
      </c>
      <c r="H35" s="126" t="s">
        <v>540</v>
      </c>
      <c r="I35" s="120">
        <v>0</v>
      </c>
      <c r="J35" s="117" t="s">
        <v>406</v>
      </c>
    </row>
    <row r="36" spans="1:10" s="128" customFormat="1" ht="81.75" customHeight="1">
      <c r="A36" s="109">
        <v>19</v>
      </c>
      <c r="B36" s="109">
        <v>754</v>
      </c>
      <c r="C36" s="109">
        <v>75412</v>
      </c>
      <c r="D36" s="114" t="s">
        <v>514</v>
      </c>
      <c r="E36" s="119">
        <v>55000</v>
      </c>
      <c r="F36" s="119">
        <v>55000</v>
      </c>
      <c r="G36" s="119">
        <v>0</v>
      </c>
      <c r="H36" s="113" t="s">
        <v>21</v>
      </c>
      <c r="I36" s="109">
        <v>0</v>
      </c>
      <c r="J36" s="114" t="s">
        <v>396</v>
      </c>
    </row>
    <row r="37" spans="1:10" s="127" customFormat="1" ht="57.75" customHeight="1">
      <c r="A37" s="239" t="s">
        <v>515</v>
      </c>
      <c r="B37" s="240"/>
      <c r="C37" s="240"/>
      <c r="D37" s="241"/>
      <c r="E37" s="129">
        <v>55000</v>
      </c>
      <c r="F37" s="129">
        <v>55000</v>
      </c>
      <c r="G37" s="129">
        <v>0</v>
      </c>
      <c r="H37" s="126" t="s">
        <v>21</v>
      </c>
      <c r="I37" s="120">
        <v>0</v>
      </c>
      <c r="J37" s="117">
        <v>0</v>
      </c>
    </row>
    <row r="38" spans="1:10" s="127" customFormat="1" ht="72" customHeight="1">
      <c r="A38" s="194">
        <v>20</v>
      </c>
      <c r="B38" s="109">
        <v>801</v>
      </c>
      <c r="C38" s="109">
        <v>80101</v>
      </c>
      <c r="D38" s="174" t="s">
        <v>562</v>
      </c>
      <c r="E38" s="112">
        <f t="shared" si="0"/>
        <v>20263</v>
      </c>
      <c r="F38" s="119">
        <v>20263</v>
      </c>
      <c r="G38" s="129">
        <v>0</v>
      </c>
      <c r="H38" s="113" t="s">
        <v>21</v>
      </c>
      <c r="I38" s="120">
        <v>0</v>
      </c>
      <c r="J38" s="114" t="s">
        <v>396</v>
      </c>
    </row>
    <row r="39" spans="1:10" s="127" customFormat="1" ht="66" customHeight="1">
      <c r="A39" s="194">
        <v>21</v>
      </c>
      <c r="B39" s="109">
        <v>801</v>
      </c>
      <c r="C39" s="109">
        <v>80110</v>
      </c>
      <c r="D39" s="157" t="s">
        <v>502</v>
      </c>
      <c r="E39" s="112">
        <f t="shared" si="0"/>
        <v>250000</v>
      </c>
      <c r="F39" s="119">
        <v>200000</v>
      </c>
      <c r="G39" s="119">
        <v>50000</v>
      </c>
      <c r="H39" s="113" t="s">
        <v>21</v>
      </c>
      <c r="I39" s="109">
        <v>0</v>
      </c>
      <c r="J39" s="114" t="s">
        <v>396</v>
      </c>
    </row>
    <row r="40" spans="1:10" s="127" customFormat="1" ht="54.75" customHeight="1">
      <c r="A40" s="239" t="s">
        <v>419</v>
      </c>
      <c r="B40" s="240"/>
      <c r="C40" s="240"/>
      <c r="D40" s="241"/>
      <c r="E40" s="129">
        <f>E39+E38</f>
        <v>270263</v>
      </c>
      <c r="F40" s="129">
        <f>F39+F38</f>
        <v>220263</v>
      </c>
      <c r="G40" s="129">
        <f>G39</f>
        <v>50000</v>
      </c>
      <c r="H40" s="126" t="s">
        <v>21</v>
      </c>
      <c r="I40" s="120">
        <v>0</v>
      </c>
      <c r="J40" s="117" t="s">
        <v>406</v>
      </c>
    </row>
    <row r="41" spans="1:10" ht="89.25">
      <c r="A41" s="109">
        <v>22</v>
      </c>
      <c r="B41" s="122">
        <v>851</v>
      </c>
      <c r="C41" s="122">
        <v>85121</v>
      </c>
      <c r="D41" s="124" t="s">
        <v>429</v>
      </c>
      <c r="E41" s="112">
        <f t="shared" si="0"/>
        <v>0</v>
      </c>
      <c r="F41" s="112">
        <f>50000-50000</f>
        <v>0</v>
      </c>
      <c r="G41" s="112">
        <v>0</v>
      </c>
      <c r="H41" s="113" t="s">
        <v>21</v>
      </c>
      <c r="I41" s="109">
        <v>0</v>
      </c>
      <c r="J41" s="114" t="s">
        <v>396</v>
      </c>
    </row>
    <row r="42" spans="1:10" ht="51">
      <c r="A42" s="109">
        <v>23</v>
      </c>
      <c r="B42" s="122">
        <v>851</v>
      </c>
      <c r="C42" s="122">
        <v>85121</v>
      </c>
      <c r="D42" s="124" t="s">
        <v>490</v>
      </c>
      <c r="E42" s="112">
        <f t="shared" si="0"/>
        <v>4000</v>
      </c>
      <c r="F42" s="112">
        <f>5000-1000</f>
        <v>4000</v>
      </c>
      <c r="G42" s="112">
        <v>0</v>
      </c>
      <c r="H42" s="113" t="s">
        <v>21</v>
      </c>
      <c r="I42" s="109">
        <v>0</v>
      </c>
      <c r="J42" s="114" t="s">
        <v>396</v>
      </c>
    </row>
    <row r="43" spans="1:10" ht="51">
      <c r="A43" s="109">
        <v>24</v>
      </c>
      <c r="B43" s="122">
        <v>851</v>
      </c>
      <c r="C43" s="122">
        <v>85154</v>
      </c>
      <c r="D43" s="124" t="s">
        <v>563</v>
      </c>
      <c r="E43" s="112">
        <f>F43</f>
        <v>18500</v>
      </c>
      <c r="F43" s="112">
        <v>18500</v>
      </c>
      <c r="G43" s="112">
        <v>0</v>
      </c>
      <c r="H43" s="113" t="s">
        <v>21</v>
      </c>
      <c r="I43" s="109">
        <v>0</v>
      </c>
      <c r="J43" s="114" t="s">
        <v>396</v>
      </c>
    </row>
    <row r="44" spans="1:10" s="127" customFormat="1" ht="54" customHeight="1">
      <c r="A44" s="243" t="s">
        <v>439</v>
      </c>
      <c r="B44" s="243"/>
      <c r="C44" s="243"/>
      <c r="D44" s="243"/>
      <c r="E44" s="116">
        <f>E41+E42+E43</f>
        <v>22500</v>
      </c>
      <c r="F44" s="116">
        <f>F41+F42+F43</f>
        <v>22500</v>
      </c>
      <c r="G44" s="116">
        <f>G41+G42</f>
        <v>0</v>
      </c>
      <c r="H44" s="126" t="s">
        <v>21</v>
      </c>
      <c r="I44" s="120">
        <v>0</v>
      </c>
      <c r="J44" s="117" t="s">
        <v>406</v>
      </c>
    </row>
    <row r="45" spans="1:10" s="128" customFormat="1" ht="54" customHeight="1">
      <c r="A45" s="109">
        <v>25</v>
      </c>
      <c r="B45" s="109">
        <v>852</v>
      </c>
      <c r="C45" s="109">
        <v>85212</v>
      </c>
      <c r="D45" s="174" t="s">
        <v>547</v>
      </c>
      <c r="E45" s="112">
        <v>7600</v>
      </c>
      <c r="F45" s="112">
        <v>0</v>
      </c>
      <c r="G45" s="112">
        <v>0</v>
      </c>
      <c r="H45" s="113" t="s">
        <v>548</v>
      </c>
      <c r="I45" s="109">
        <v>0</v>
      </c>
      <c r="J45" s="114" t="s">
        <v>396</v>
      </c>
    </row>
    <row r="46" spans="1:10" s="127" customFormat="1" ht="54" customHeight="1">
      <c r="A46" s="239" t="s">
        <v>543</v>
      </c>
      <c r="B46" s="240"/>
      <c r="C46" s="240"/>
      <c r="D46" s="241"/>
      <c r="E46" s="116">
        <f>E45</f>
        <v>7600</v>
      </c>
      <c r="F46" s="116">
        <f>F45</f>
        <v>0</v>
      </c>
      <c r="G46" s="116">
        <f>G45</f>
        <v>0</v>
      </c>
      <c r="H46" s="126" t="s">
        <v>548</v>
      </c>
      <c r="I46" s="120">
        <f>I45</f>
        <v>0</v>
      </c>
      <c r="J46" s="114" t="s">
        <v>396</v>
      </c>
    </row>
    <row r="47" spans="1:10" ht="54.75" customHeight="1">
      <c r="A47" s="109">
        <v>26</v>
      </c>
      <c r="B47" s="109">
        <v>900</v>
      </c>
      <c r="C47" s="109">
        <v>90015</v>
      </c>
      <c r="D47" s="123" t="s">
        <v>430</v>
      </c>
      <c r="E47" s="112">
        <f t="shared" si="0"/>
        <v>52500</v>
      </c>
      <c r="F47" s="112">
        <f>55000-2500</f>
        <v>52500</v>
      </c>
      <c r="G47" s="112">
        <v>0</v>
      </c>
      <c r="H47" s="113" t="s">
        <v>21</v>
      </c>
      <c r="I47" s="109">
        <v>0</v>
      </c>
      <c r="J47" s="114" t="s">
        <v>396</v>
      </c>
    </row>
    <row r="48" spans="1:10" ht="51">
      <c r="A48" s="109">
        <v>27</v>
      </c>
      <c r="B48" s="109">
        <v>900</v>
      </c>
      <c r="C48" s="109">
        <v>90015</v>
      </c>
      <c r="D48" s="125" t="s">
        <v>431</v>
      </c>
      <c r="E48" s="112">
        <f t="shared" si="0"/>
        <v>9000</v>
      </c>
      <c r="F48" s="112">
        <v>9000</v>
      </c>
      <c r="G48" s="112">
        <v>0</v>
      </c>
      <c r="H48" s="113" t="s">
        <v>21</v>
      </c>
      <c r="I48" s="109">
        <v>0</v>
      </c>
      <c r="J48" s="114" t="s">
        <v>396</v>
      </c>
    </row>
    <row r="49" spans="1:10" ht="51">
      <c r="A49" s="109">
        <v>28</v>
      </c>
      <c r="B49" s="109">
        <v>900</v>
      </c>
      <c r="C49" s="109">
        <v>90015</v>
      </c>
      <c r="D49" s="125" t="s">
        <v>534</v>
      </c>
      <c r="E49" s="112">
        <f t="shared" si="0"/>
        <v>39000</v>
      </c>
      <c r="F49" s="112">
        <f>80000-41000</f>
        <v>39000</v>
      </c>
      <c r="G49" s="112">
        <v>0</v>
      </c>
      <c r="H49" s="113" t="s">
        <v>21</v>
      </c>
      <c r="I49" s="109">
        <v>0</v>
      </c>
      <c r="J49" s="114" t="s">
        <v>396</v>
      </c>
    </row>
    <row r="50" spans="1:10" ht="51">
      <c r="A50" s="109">
        <v>29</v>
      </c>
      <c r="B50" s="109">
        <v>900</v>
      </c>
      <c r="C50" s="109">
        <v>90015</v>
      </c>
      <c r="D50" s="125" t="s">
        <v>493</v>
      </c>
      <c r="E50" s="112">
        <f t="shared" si="0"/>
        <v>6100</v>
      </c>
      <c r="F50" s="112">
        <f>5000+1100</f>
        <v>6100</v>
      </c>
      <c r="G50" s="112">
        <v>0</v>
      </c>
      <c r="H50" s="113" t="s">
        <v>21</v>
      </c>
      <c r="I50" s="109">
        <v>0</v>
      </c>
      <c r="J50" s="114" t="s">
        <v>396</v>
      </c>
    </row>
    <row r="51" spans="1:10" ht="76.5">
      <c r="A51" s="109">
        <v>30</v>
      </c>
      <c r="B51" s="109">
        <v>900</v>
      </c>
      <c r="C51" s="109">
        <v>90015</v>
      </c>
      <c r="D51" s="123" t="s">
        <v>503</v>
      </c>
      <c r="E51" s="112">
        <f t="shared" si="0"/>
        <v>27000</v>
      </c>
      <c r="F51" s="112">
        <v>27000</v>
      </c>
      <c r="G51" s="112">
        <v>0</v>
      </c>
      <c r="H51" s="113" t="s">
        <v>21</v>
      </c>
      <c r="I51" s="109">
        <v>0</v>
      </c>
      <c r="J51" s="114" t="s">
        <v>396</v>
      </c>
    </row>
    <row r="52" spans="1:10" ht="51">
      <c r="A52" s="109">
        <v>31</v>
      </c>
      <c r="B52" s="109">
        <v>900</v>
      </c>
      <c r="C52" s="109">
        <v>90015</v>
      </c>
      <c r="D52" s="125" t="s">
        <v>506</v>
      </c>
      <c r="E52" s="112">
        <f t="shared" si="0"/>
        <v>16000</v>
      </c>
      <c r="F52" s="112">
        <f>15000+1000</f>
        <v>16000</v>
      </c>
      <c r="G52" s="112">
        <v>0</v>
      </c>
      <c r="H52" s="113" t="s">
        <v>21</v>
      </c>
      <c r="I52" s="109">
        <v>0</v>
      </c>
      <c r="J52" s="114" t="s">
        <v>396</v>
      </c>
    </row>
    <row r="53" spans="1:10" ht="51">
      <c r="A53" s="109">
        <v>32</v>
      </c>
      <c r="B53" s="109">
        <v>900</v>
      </c>
      <c r="C53" s="109">
        <v>90095</v>
      </c>
      <c r="D53" s="123" t="s">
        <v>432</v>
      </c>
      <c r="E53" s="112">
        <f t="shared" si="0"/>
        <v>10000</v>
      </c>
      <c r="F53" s="112">
        <f>50000-40000</f>
        <v>10000</v>
      </c>
      <c r="G53" s="112">
        <v>0</v>
      </c>
      <c r="H53" s="113" t="s">
        <v>21</v>
      </c>
      <c r="I53" s="109">
        <v>0</v>
      </c>
      <c r="J53" s="114" t="s">
        <v>396</v>
      </c>
    </row>
    <row r="54" spans="1:10" ht="51">
      <c r="A54" s="109">
        <v>33</v>
      </c>
      <c r="B54" s="109">
        <v>900</v>
      </c>
      <c r="C54" s="109">
        <v>90095</v>
      </c>
      <c r="D54" s="123" t="s">
        <v>475</v>
      </c>
      <c r="E54" s="112">
        <f>320000-20000-300000</f>
        <v>0</v>
      </c>
      <c r="F54" s="112">
        <f>300000-280000-20000</f>
        <v>0</v>
      </c>
      <c r="G54" s="112">
        <v>0</v>
      </c>
      <c r="H54" s="113" t="s">
        <v>528</v>
      </c>
      <c r="I54" s="109">
        <v>0</v>
      </c>
      <c r="J54" s="114" t="s">
        <v>396</v>
      </c>
    </row>
    <row r="55" spans="1:10" s="127" customFormat="1" ht="54.75" customHeight="1">
      <c r="A55" s="243" t="s">
        <v>421</v>
      </c>
      <c r="B55" s="243"/>
      <c r="C55" s="243"/>
      <c r="D55" s="243"/>
      <c r="E55" s="116">
        <f>E54+E53+E48+E47+E50+E49+E51+E52</f>
        <v>159600</v>
      </c>
      <c r="F55" s="116">
        <f>F54+F53+F48+F47+F50+F49+F51+F52</f>
        <v>159600</v>
      </c>
      <c r="G55" s="116">
        <f>G54+G53+G48+G47+G50+G49+G51+G52</f>
        <v>0</v>
      </c>
      <c r="H55" s="126" t="s">
        <v>528</v>
      </c>
      <c r="I55" s="120">
        <v>0</v>
      </c>
      <c r="J55" s="117" t="s">
        <v>406</v>
      </c>
    </row>
    <row r="56" spans="1:10" s="128" customFormat="1" ht="72" customHeight="1">
      <c r="A56" s="109">
        <v>34</v>
      </c>
      <c r="B56" s="109">
        <v>921</v>
      </c>
      <c r="C56" s="109">
        <v>92109</v>
      </c>
      <c r="D56" s="115" t="s">
        <v>526</v>
      </c>
      <c r="E56" s="112">
        <f t="shared" si="0"/>
        <v>10000</v>
      </c>
      <c r="F56" s="112">
        <f>50000-40000</f>
        <v>10000</v>
      </c>
      <c r="G56" s="112">
        <v>0</v>
      </c>
      <c r="H56" s="113" t="s">
        <v>21</v>
      </c>
      <c r="I56" s="109">
        <v>0</v>
      </c>
      <c r="J56" s="114" t="s">
        <v>396</v>
      </c>
    </row>
    <row r="57" spans="1:10" s="127" customFormat="1" ht="54.75" customHeight="1">
      <c r="A57" s="243" t="s">
        <v>494</v>
      </c>
      <c r="B57" s="243"/>
      <c r="C57" s="243"/>
      <c r="D57" s="243"/>
      <c r="E57" s="116">
        <f>E56</f>
        <v>10000</v>
      </c>
      <c r="F57" s="116">
        <f>F56</f>
        <v>10000</v>
      </c>
      <c r="G57" s="116">
        <f>G56</f>
        <v>0</v>
      </c>
      <c r="H57" s="113" t="s">
        <v>21</v>
      </c>
      <c r="I57" s="120">
        <v>0</v>
      </c>
      <c r="J57" s="117" t="s">
        <v>406</v>
      </c>
    </row>
    <row r="58" spans="1:10" s="127" customFormat="1" ht="66.75" customHeight="1">
      <c r="A58" s="243" t="s">
        <v>40</v>
      </c>
      <c r="B58" s="243"/>
      <c r="C58" s="243"/>
      <c r="D58" s="243"/>
      <c r="E58" s="116">
        <f>E55+E44+E35+E32+E30+E57+E15+E40+E37+E46</f>
        <v>2973763</v>
      </c>
      <c r="F58" s="116">
        <f>F55+F44+F35+F32+F30+F57+F15+F40+F37+F46</f>
        <v>2397163</v>
      </c>
      <c r="G58" s="116">
        <f>G55+G44+G35+G32+G30+G57+G15+G40+G37+G46</f>
        <v>534000</v>
      </c>
      <c r="H58" s="126" t="s">
        <v>549</v>
      </c>
      <c r="I58" s="120">
        <v>0</v>
      </c>
      <c r="J58" s="120" t="s">
        <v>406</v>
      </c>
    </row>
    <row r="60" spans="5:6" ht="12.75">
      <c r="E60" s="108"/>
      <c r="F60" s="108"/>
    </row>
    <row r="61" spans="5:7" ht="12.75">
      <c r="E61" s="108"/>
      <c r="G61" s="108"/>
    </row>
    <row r="62" ht="12.75">
      <c r="E62" s="108"/>
    </row>
    <row r="63" ht="12.75">
      <c r="G63" s="108"/>
    </row>
    <row r="64" ht="12.75">
      <c r="F64" s="108"/>
    </row>
    <row r="65" spans="5:7" ht="12.75">
      <c r="E65" s="108"/>
      <c r="F65" s="108"/>
      <c r="G65" s="108"/>
    </row>
    <row r="66" ht="12.75">
      <c r="E66" s="108"/>
    </row>
    <row r="67" ht="12.75">
      <c r="G67" s="108"/>
    </row>
    <row r="70" ht="12.75">
      <c r="E70" s="162"/>
    </row>
  </sheetData>
  <sheetProtection/>
  <mergeCells count="25">
    <mergeCell ref="A57:D57"/>
    <mergeCell ref="A30:D30"/>
    <mergeCell ref="A35:D35"/>
    <mergeCell ref="A44:D44"/>
    <mergeCell ref="A55:D55"/>
    <mergeCell ref="A32:D32"/>
    <mergeCell ref="A46:D46"/>
    <mergeCell ref="A58:D5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5:D15"/>
    <mergeCell ref="A40:D40"/>
    <mergeCell ref="H1:J5"/>
    <mergeCell ref="F10:F12"/>
    <mergeCell ref="G10:G12"/>
    <mergeCell ref="H10:H12"/>
    <mergeCell ref="I10:I12"/>
    <mergeCell ref="A37:D37"/>
  </mergeCells>
  <printOptions horizontalCentered="1"/>
  <pageMargins left="0.19" right="0.31" top="0.84" bottom="0.38" header="0.5118110236220472" footer="0.26"/>
  <pageSetup fitToHeight="3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H65" sqref="H6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245" t="s">
        <v>509</v>
      </c>
      <c r="D1" s="245"/>
      <c r="E1" s="245"/>
      <c r="F1" s="245"/>
    </row>
    <row r="2" spans="3:6" ht="12.75" customHeight="1">
      <c r="C2" s="245"/>
      <c r="D2" s="245"/>
      <c r="E2" s="245"/>
      <c r="F2" s="245"/>
    </row>
    <row r="3" spans="3:6" ht="12.75">
      <c r="C3" s="245"/>
      <c r="D3" s="245"/>
      <c r="E3" s="245"/>
      <c r="F3" s="245"/>
    </row>
    <row r="4" spans="3:6" ht="12.75">
      <c r="C4" s="245"/>
      <c r="D4" s="245"/>
      <c r="E4" s="245"/>
      <c r="F4" s="245"/>
    </row>
    <row r="5" spans="3:6" ht="19.5" customHeight="1">
      <c r="C5" s="245"/>
      <c r="D5" s="245"/>
      <c r="E5" s="245"/>
      <c r="F5" s="245"/>
    </row>
    <row r="6" spans="1:4" ht="15" customHeight="1">
      <c r="A6" s="210" t="s">
        <v>484</v>
      </c>
      <c r="B6" s="210"/>
      <c r="C6" s="210"/>
      <c r="D6" s="210"/>
    </row>
    <row r="7" ht="4.5" customHeight="1">
      <c r="A7" s="65"/>
    </row>
    <row r="8" ht="12.75">
      <c r="D8" s="39" t="s">
        <v>14</v>
      </c>
    </row>
    <row r="9" spans="1:4" ht="15" customHeight="1">
      <c r="A9" s="244" t="s">
        <v>18</v>
      </c>
      <c r="B9" s="244" t="s">
        <v>4</v>
      </c>
      <c r="C9" s="242" t="s">
        <v>117</v>
      </c>
      <c r="D9" s="242" t="s">
        <v>118</v>
      </c>
    </row>
    <row r="10" spans="1:4" ht="15" customHeight="1">
      <c r="A10" s="244"/>
      <c r="B10" s="244"/>
      <c r="C10" s="244"/>
      <c r="D10" s="242"/>
    </row>
    <row r="11" spans="1:4" ht="15.75" customHeight="1">
      <c r="A11" s="244"/>
      <c r="B11" s="244"/>
      <c r="C11" s="244"/>
      <c r="D11" s="242"/>
    </row>
    <row r="12" spans="1:4" s="67" customFormat="1" ht="6.75" customHeight="1">
      <c r="A12" s="66">
        <v>1</v>
      </c>
      <c r="B12" s="66">
        <v>2</v>
      </c>
      <c r="C12" s="66">
        <v>3</v>
      </c>
      <c r="D12" s="66">
        <v>4</v>
      </c>
    </row>
    <row r="13" spans="1:4" ht="18.75" customHeight="1">
      <c r="A13" s="209" t="s">
        <v>119</v>
      </c>
      <c r="B13" s="209"/>
      <c r="C13" s="68"/>
      <c r="D13" s="134">
        <f>D14+D26+D23+D15</f>
        <v>4433327</v>
      </c>
    </row>
    <row r="14" spans="1:4" ht="18.75" customHeight="1">
      <c r="A14" s="38" t="s">
        <v>6</v>
      </c>
      <c r="B14" s="61" t="s">
        <v>120</v>
      </c>
      <c r="C14" s="38" t="s">
        <v>121</v>
      </c>
      <c r="D14" s="144">
        <v>839235</v>
      </c>
    </row>
    <row r="15" spans="1:5" ht="18.75" customHeight="1">
      <c r="A15" s="36" t="s">
        <v>7</v>
      </c>
      <c r="B15" s="62" t="s">
        <v>122</v>
      </c>
      <c r="C15" s="36" t="s">
        <v>121</v>
      </c>
      <c r="D15" s="145">
        <v>499530</v>
      </c>
      <c r="E15" s="108"/>
    </row>
    <row r="16" spans="1:4" ht="51">
      <c r="A16" s="36" t="s">
        <v>8</v>
      </c>
      <c r="B16" s="69" t="s">
        <v>123</v>
      </c>
      <c r="C16" s="36" t="s">
        <v>124</v>
      </c>
      <c r="D16" s="145"/>
    </row>
    <row r="17" spans="1:4" ht="18.75" customHeight="1">
      <c r="A17" s="36" t="s">
        <v>0</v>
      </c>
      <c r="B17" s="62" t="s">
        <v>125</v>
      </c>
      <c r="C17" s="36" t="s">
        <v>126</v>
      </c>
      <c r="D17" s="145"/>
    </row>
    <row r="18" spans="1:6" ht="18.75" customHeight="1">
      <c r="A18" s="36" t="s">
        <v>127</v>
      </c>
      <c r="B18" s="62" t="s">
        <v>128</v>
      </c>
      <c r="C18" s="36" t="s">
        <v>169</v>
      </c>
      <c r="D18" s="145"/>
      <c r="F18" s="108"/>
    </row>
    <row r="19" spans="1:4" ht="18.75" customHeight="1">
      <c r="A19" s="36" t="s">
        <v>129</v>
      </c>
      <c r="B19" s="62" t="s">
        <v>130</v>
      </c>
      <c r="C19" s="36" t="s">
        <v>131</v>
      </c>
      <c r="D19" s="145"/>
    </row>
    <row r="20" spans="1:4" ht="18.75" customHeight="1">
      <c r="A20" s="36" t="s">
        <v>132</v>
      </c>
      <c r="B20" s="62" t="s">
        <v>133</v>
      </c>
      <c r="C20" s="36" t="s">
        <v>134</v>
      </c>
      <c r="D20" s="145"/>
    </row>
    <row r="21" spans="1:4" ht="44.25" customHeight="1">
      <c r="A21" s="36" t="s">
        <v>135</v>
      </c>
      <c r="B21" s="69" t="s">
        <v>136</v>
      </c>
      <c r="C21" s="36" t="s">
        <v>137</v>
      </c>
      <c r="D21" s="145"/>
    </row>
    <row r="22" spans="1:4" ht="18.75" customHeight="1">
      <c r="A22" s="36" t="s">
        <v>138</v>
      </c>
      <c r="B22" s="62" t="s">
        <v>139</v>
      </c>
      <c r="C22" s="36" t="s">
        <v>140</v>
      </c>
      <c r="D22" s="145"/>
    </row>
    <row r="23" spans="1:4" ht="18.75" customHeight="1">
      <c r="A23" s="36" t="s">
        <v>141</v>
      </c>
      <c r="B23" s="62" t="s">
        <v>142</v>
      </c>
      <c r="C23" s="36" t="s">
        <v>143</v>
      </c>
      <c r="D23" s="145">
        <v>1537037</v>
      </c>
    </row>
    <row r="24" spans="1:4" ht="18.75" customHeight="1">
      <c r="A24" s="36" t="s">
        <v>144</v>
      </c>
      <c r="B24" s="62" t="s">
        <v>145</v>
      </c>
      <c r="C24" s="36" t="s">
        <v>146</v>
      </c>
      <c r="D24" s="145"/>
    </row>
    <row r="25" spans="1:4" ht="18.75" customHeight="1">
      <c r="A25" s="36" t="s">
        <v>147</v>
      </c>
      <c r="B25" s="62" t="s">
        <v>148</v>
      </c>
      <c r="C25" s="36" t="s">
        <v>149</v>
      </c>
      <c r="D25" s="145"/>
    </row>
    <row r="26" spans="1:4" ht="18.75" customHeight="1">
      <c r="A26" s="36" t="s">
        <v>150</v>
      </c>
      <c r="B26" s="62" t="s">
        <v>151</v>
      </c>
      <c r="C26" s="36" t="s">
        <v>152</v>
      </c>
      <c r="D26" s="145">
        <v>1557525</v>
      </c>
    </row>
    <row r="27" spans="1:4" ht="18.75" customHeight="1">
      <c r="A27" s="37" t="s">
        <v>153</v>
      </c>
      <c r="B27" s="63" t="s">
        <v>154</v>
      </c>
      <c r="C27" s="37" t="s">
        <v>155</v>
      </c>
      <c r="D27" s="146"/>
    </row>
    <row r="28" spans="1:4" ht="18.75" customHeight="1">
      <c r="A28" s="209" t="s">
        <v>156</v>
      </c>
      <c r="B28" s="209"/>
      <c r="C28" s="68"/>
      <c r="D28" s="134">
        <f>D29+D30+D31</f>
        <v>1557525</v>
      </c>
    </row>
    <row r="29" spans="1:4" ht="18.75" customHeight="1">
      <c r="A29" s="38" t="s">
        <v>6</v>
      </c>
      <c r="B29" s="61" t="s">
        <v>157</v>
      </c>
      <c r="C29" s="38" t="s">
        <v>158</v>
      </c>
      <c r="D29" s="144">
        <f>D26-D30-D31</f>
        <v>1272000</v>
      </c>
    </row>
    <row r="30" spans="1:4" ht="18.75" customHeight="1">
      <c r="A30" s="36" t="s">
        <v>7</v>
      </c>
      <c r="B30" s="62" t="s">
        <v>159</v>
      </c>
      <c r="C30" s="36" t="s">
        <v>158</v>
      </c>
      <c r="D30" s="145">
        <f>96045+102480</f>
        <v>198525</v>
      </c>
    </row>
    <row r="31" spans="1:4" ht="38.25">
      <c r="A31" s="36" t="s">
        <v>8</v>
      </c>
      <c r="B31" s="69" t="s">
        <v>160</v>
      </c>
      <c r="C31" s="36" t="s">
        <v>161</v>
      </c>
      <c r="D31" s="145">
        <v>87000</v>
      </c>
    </row>
    <row r="32" spans="1:4" ht="18.75" customHeight="1">
      <c r="A32" s="36" t="s">
        <v>0</v>
      </c>
      <c r="B32" s="62" t="s">
        <v>115</v>
      </c>
      <c r="C32" s="36" t="s">
        <v>162</v>
      </c>
      <c r="D32" s="145"/>
    </row>
    <row r="33" spans="1:4" ht="18.75" customHeight="1">
      <c r="A33" s="36" t="s">
        <v>127</v>
      </c>
      <c r="B33" s="62" t="s">
        <v>163</v>
      </c>
      <c r="C33" s="36" t="s">
        <v>155</v>
      </c>
      <c r="D33" s="145"/>
    </row>
    <row r="34" spans="1:4" ht="18.75" customHeight="1">
      <c r="A34" s="36" t="s">
        <v>141</v>
      </c>
      <c r="B34" s="62" t="s">
        <v>116</v>
      </c>
      <c r="C34" s="36" t="s">
        <v>164</v>
      </c>
      <c r="D34" s="145"/>
    </row>
    <row r="35" spans="1:4" ht="18.75" customHeight="1">
      <c r="A35" s="36" t="s">
        <v>144</v>
      </c>
      <c r="B35" s="62" t="s">
        <v>165</v>
      </c>
      <c r="C35" s="36" t="s">
        <v>166</v>
      </c>
      <c r="D35" s="145"/>
    </row>
    <row r="36" spans="1:4" ht="18.75" customHeight="1">
      <c r="A36" s="37" t="s">
        <v>147</v>
      </c>
      <c r="B36" s="63" t="s">
        <v>167</v>
      </c>
      <c r="C36" s="37" t="s">
        <v>168</v>
      </c>
      <c r="D36" s="146"/>
    </row>
    <row r="37" spans="1:4" ht="7.5" customHeight="1">
      <c r="A37" s="70"/>
      <c r="B37" s="4"/>
      <c r="C37" s="4"/>
      <c r="D37" s="4"/>
    </row>
    <row r="38" spans="1:6" ht="12.75">
      <c r="A38" s="71"/>
      <c r="B38" s="72"/>
      <c r="C38" s="72"/>
      <c r="D38" s="156"/>
      <c r="E38" s="40"/>
      <c r="F38" s="40"/>
    </row>
    <row r="39" spans="1:6" ht="12.75">
      <c r="A39" s="208"/>
      <c r="B39" s="208"/>
      <c r="C39" s="208"/>
      <c r="D39" s="208"/>
      <c r="E39" s="208"/>
      <c r="F39" s="208"/>
    </row>
    <row r="40" spans="1:6" ht="22.5" customHeight="1">
      <c r="A40" s="208"/>
      <c r="B40" s="208"/>
      <c r="C40" s="208"/>
      <c r="D40" s="208"/>
      <c r="E40" s="208"/>
      <c r="F40" s="208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defaultGridColor="0" zoomScalePageLayoutView="0" colorId="8" workbookViewId="0" topLeftCell="A41">
      <selection activeCell="J63" sqref="J6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219" t="s">
        <v>570</v>
      </c>
      <c r="I1" s="219"/>
      <c r="J1" s="219"/>
    </row>
    <row r="2" spans="8:10" ht="12.75">
      <c r="H2" s="219"/>
      <c r="I2" s="219"/>
      <c r="J2" s="219"/>
    </row>
    <row r="3" spans="8:10" ht="12.75">
      <c r="H3" s="219"/>
      <c r="I3" s="219"/>
      <c r="J3" s="219"/>
    </row>
    <row r="4" spans="8:10" ht="12.75">
      <c r="H4" s="219"/>
      <c r="I4" s="219"/>
      <c r="J4" s="219"/>
    </row>
    <row r="6" spans="1:10" ht="48.75" customHeight="1">
      <c r="A6" s="212" t="s">
        <v>53</v>
      </c>
      <c r="B6" s="212"/>
      <c r="C6" s="212"/>
      <c r="D6" s="212"/>
      <c r="E6" s="212"/>
      <c r="F6" s="212"/>
      <c r="G6" s="212"/>
      <c r="H6" s="212"/>
      <c r="I6" s="212"/>
      <c r="J6" s="212"/>
    </row>
    <row r="7" ht="12.75">
      <c r="J7" s="5" t="s">
        <v>14</v>
      </c>
    </row>
    <row r="8" spans="1:10" s="3" customFormat="1" ht="20.25" customHeight="1">
      <c r="A8" s="244" t="s">
        <v>1</v>
      </c>
      <c r="B8" s="215" t="s">
        <v>2</v>
      </c>
      <c r="C8" s="215" t="s">
        <v>3</v>
      </c>
      <c r="D8" s="242" t="s">
        <v>36</v>
      </c>
      <c r="E8" s="242" t="s">
        <v>35</v>
      </c>
      <c r="F8" s="242" t="s">
        <v>23</v>
      </c>
      <c r="G8" s="242"/>
      <c r="H8" s="242"/>
      <c r="I8" s="242"/>
      <c r="J8" s="242"/>
    </row>
    <row r="9" spans="1:10" s="3" customFormat="1" ht="20.25" customHeight="1">
      <c r="A9" s="244"/>
      <c r="B9" s="216"/>
      <c r="C9" s="216"/>
      <c r="D9" s="244"/>
      <c r="E9" s="242"/>
      <c r="F9" s="242" t="s">
        <v>33</v>
      </c>
      <c r="G9" s="242" t="s">
        <v>5</v>
      </c>
      <c r="H9" s="242"/>
      <c r="I9" s="242"/>
      <c r="J9" s="242" t="s">
        <v>34</v>
      </c>
    </row>
    <row r="10" spans="1:10" s="3" customFormat="1" ht="65.25" customHeight="1">
      <c r="A10" s="244"/>
      <c r="B10" s="200"/>
      <c r="C10" s="200"/>
      <c r="D10" s="244"/>
      <c r="E10" s="242"/>
      <c r="F10" s="242"/>
      <c r="G10" s="8" t="s">
        <v>30</v>
      </c>
      <c r="H10" s="8" t="s">
        <v>31</v>
      </c>
      <c r="I10" s="8" t="s">
        <v>32</v>
      </c>
      <c r="J10" s="242"/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s="153" customFormat="1" ht="19.5" customHeight="1">
      <c r="A12" s="163" t="s">
        <v>171</v>
      </c>
      <c r="B12" s="163" t="s">
        <v>303</v>
      </c>
      <c r="C12" s="164">
        <v>2010</v>
      </c>
      <c r="D12" s="137">
        <v>138548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</row>
    <row r="13" spans="1:10" s="153" customFormat="1" ht="19.5" customHeight="1">
      <c r="A13" s="163" t="s">
        <v>171</v>
      </c>
      <c r="B13" s="163" t="s">
        <v>303</v>
      </c>
      <c r="C13" s="164">
        <v>4010</v>
      </c>
      <c r="D13" s="137">
        <v>0</v>
      </c>
      <c r="E13" s="137">
        <v>2311</v>
      </c>
      <c r="F13" s="137">
        <f>E13</f>
        <v>2311</v>
      </c>
      <c r="G13" s="137">
        <f>F13</f>
        <v>2311</v>
      </c>
      <c r="H13" s="137">
        <v>0</v>
      </c>
      <c r="I13" s="137">
        <v>0</v>
      </c>
      <c r="J13" s="137">
        <v>0</v>
      </c>
    </row>
    <row r="14" spans="1:10" s="153" customFormat="1" ht="19.5" customHeight="1">
      <c r="A14" s="163" t="s">
        <v>171</v>
      </c>
      <c r="B14" s="163" t="s">
        <v>303</v>
      </c>
      <c r="C14" s="164">
        <v>4110</v>
      </c>
      <c r="D14" s="137">
        <v>0</v>
      </c>
      <c r="E14" s="137">
        <v>349</v>
      </c>
      <c r="F14" s="137">
        <f>E14</f>
        <v>349</v>
      </c>
      <c r="G14" s="137">
        <v>0</v>
      </c>
      <c r="H14" s="137">
        <f>F14</f>
        <v>349</v>
      </c>
      <c r="I14" s="137">
        <v>0</v>
      </c>
      <c r="J14" s="137">
        <v>0</v>
      </c>
    </row>
    <row r="15" spans="1:10" s="153" customFormat="1" ht="19.5" customHeight="1">
      <c r="A15" s="163" t="s">
        <v>171</v>
      </c>
      <c r="B15" s="163" t="s">
        <v>303</v>
      </c>
      <c r="C15" s="164">
        <v>4120</v>
      </c>
      <c r="D15" s="137">
        <v>0</v>
      </c>
      <c r="E15" s="137">
        <v>57</v>
      </c>
      <c r="F15" s="137">
        <f>E15</f>
        <v>57</v>
      </c>
      <c r="G15" s="137">
        <v>0</v>
      </c>
      <c r="H15" s="137">
        <f>F15</f>
        <v>57</v>
      </c>
      <c r="I15" s="137">
        <v>0</v>
      </c>
      <c r="J15" s="137">
        <v>0</v>
      </c>
    </row>
    <row r="16" spans="1:10" s="153" customFormat="1" ht="19.5" customHeight="1">
      <c r="A16" s="163" t="s">
        <v>171</v>
      </c>
      <c r="B16" s="163" t="s">
        <v>303</v>
      </c>
      <c r="C16" s="164">
        <v>4430</v>
      </c>
      <c r="D16" s="137">
        <v>0</v>
      </c>
      <c r="E16" s="137">
        <v>135831</v>
      </c>
      <c r="F16" s="137">
        <f>E16</f>
        <v>135831</v>
      </c>
      <c r="G16" s="137">
        <v>0</v>
      </c>
      <c r="H16" s="137">
        <v>0</v>
      </c>
      <c r="I16" s="137">
        <v>0</v>
      </c>
      <c r="J16" s="137">
        <v>0</v>
      </c>
    </row>
    <row r="17" spans="1:10" s="25" customFormat="1" ht="19.5" customHeight="1">
      <c r="A17" s="213" t="s">
        <v>405</v>
      </c>
      <c r="B17" s="213"/>
      <c r="C17" s="213"/>
      <c r="D17" s="134">
        <f aca="true" t="shared" si="0" ref="D17:J17">D16+D15+D14+D13+D12</f>
        <v>138548</v>
      </c>
      <c r="E17" s="134">
        <f t="shared" si="0"/>
        <v>138548</v>
      </c>
      <c r="F17" s="134">
        <f t="shared" si="0"/>
        <v>138548</v>
      </c>
      <c r="G17" s="134">
        <f t="shared" si="0"/>
        <v>2311</v>
      </c>
      <c r="H17" s="134">
        <f t="shared" si="0"/>
        <v>406</v>
      </c>
      <c r="I17" s="134">
        <f t="shared" si="0"/>
        <v>0</v>
      </c>
      <c r="J17" s="134">
        <f t="shared" si="0"/>
        <v>0</v>
      </c>
    </row>
    <row r="18" spans="1:10" ht="19.5" customHeight="1">
      <c r="A18" s="10">
        <v>750</v>
      </c>
      <c r="B18" s="10">
        <v>75011</v>
      </c>
      <c r="C18" s="10">
        <v>2010</v>
      </c>
      <c r="D18" s="165">
        <v>119235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</row>
    <row r="19" spans="1:10" ht="19.5" customHeight="1">
      <c r="A19" s="10">
        <v>750</v>
      </c>
      <c r="B19" s="10">
        <v>75011</v>
      </c>
      <c r="C19" s="10">
        <v>4010</v>
      </c>
      <c r="D19" s="165">
        <v>0</v>
      </c>
      <c r="E19" s="165">
        <v>99661</v>
      </c>
      <c r="F19" s="165">
        <f>E19</f>
        <v>99661</v>
      </c>
      <c r="G19" s="165">
        <f>F19</f>
        <v>99661</v>
      </c>
      <c r="H19" s="165">
        <v>0</v>
      </c>
      <c r="I19" s="165">
        <v>0</v>
      </c>
      <c r="J19" s="165">
        <v>0</v>
      </c>
    </row>
    <row r="20" spans="1:10" ht="19.5" customHeight="1">
      <c r="A20" s="10">
        <v>750</v>
      </c>
      <c r="B20" s="10">
        <v>75011</v>
      </c>
      <c r="C20" s="10">
        <v>4110</v>
      </c>
      <c r="D20" s="165">
        <v>0</v>
      </c>
      <c r="E20" s="165">
        <v>17132</v>
      </c>
      <c r="F20" s="165">
        <f>E20</f>
        <v>17132</v>
      </c>
      <c r="G20" s="165">
        <v>0</v>
      </c>
      <c r="H20" s="165">
        <f>F20</f>
        <v>17132</v>
      </c>
      <c r="I20" s="165">
        <v>0</v>
      </c>
      <c r="J20" s="165">
        <v>0</v>
      </c>
    </row>
    <row r="21" spans="1:10" ht="19.5" customHeight="1">
      <c r="A21" s="10">
        <v>750</v>
      </c>
      <c r="B21" s="10">
        <v>75011</v>
      </c>
      <c r="C21" s="10">
        <v>4120</v>
      </c>
      <c r="D21" s="165">
        <v>0</v>
      </c>
      <c r="E21" s="165">
        <v>2442</v>
      </c>
      <c r="F21" s="165">
        <f>E21</f>
        <v>2442</v>
      </c>
      <c r="G21" s="165">
        <v>0</v>
      </c>
      <c r="H21" s="165">
        <f>F21</f>
        <v>2442</v>
      </c>
      <c r="I21" s="165">
        <v>0</v>
      </c>
      <c r="J21" s="165">
        <v>0</v>
      </c>
    </row>
    <row r="22" spans="1:10" s="25" customFormat="1" ht="19.5" customHeight="1">
      <c r="A22" s="211" t="s">
        <v>438</v>
      </c>
      <c r="B22" s="211"/>
      <c r="C22" s="211"/>
      <c r="D22" s="134">
        <f>D21+D20+D19+D18</f>
        <v>119235</v>
      </c>
      <c r="E22" s="134">
        <f aca="true" t="shared" si="1" ref="E22:J22">E21+E20+E19+E18</f>
        <v>119235</v>
      </c>
      <c r="F22" s="134">
        <f t="shared" si="1"/>
        <v>119235</v>
      </c>
      <c r="G22" s="134">
        <f t="shared" si="1"/>
        <v>99661</v>
      </c>
      <c r="H22" s="134">
        <f t="shared" si="1"/>
        <v>19574</v>
      </c>
      <c r="I22" s="134">
        <f t="shared" si="1"/>
        <v>0</v>
      </c>
      <c r="J22" s="134">
        <f t="shared" si="1"/>
        <v>0</v>
      </c>
    </row>
    <row r="23" spans="1:10" ht="19.5" customHeight="1">
      <c r="A23" s="10">
        <v>751</v>
      </c>
      <c r="B23" s="10">
        <v>75101</v>
      </c>
      <c r="C23" s="10">
        <v>2010</v>
      </c>
      <c r="D23" s="165">
        <v>3323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</row>
    <row r="24" spans="1:10" ht="19.5" customHeight="1">
      <c r="A24" s="10">
        <v>751</v>
      </c>
      <c r="B24" s="10">
        <v>75101</v>
      </c>
      <c r="C24" s="10">
        <v>4010</v>
      </c>
      <c r="D24" s="165">
        <v>0</v>
      </c>
      <c r="E24" s="165">
        <v>2777</v>
      </c>
      <c r="F24" s="165">
        <f>E24</f>
        <v>2777</v>
      </c>
      <c r="G24" s="165">
        <f>F24</f>
        <v>2777</v>
      </c>
      <c r="H24" s="165">
        <v>0</v>
      </c>
      <c r="I24" s="165">
        <v>0</v>
      </c>
      <c r="J24" s="165">
        <v>0</v>
      </c>
    </row>
    <row r="25" spans="1:10" ht="19.5" customHeight="1">
      <c r="A25" s="10">
        <v>751</v>
      </c>
      <c r="B25" s="10">
        <v>75101</v>
      </c>
      <c r="C25" s="10">
        <v>4110</v>
      </c>
      <c r="D25" s="165">
        <v>0</v>
      </c>
      <c r="E25" s="165">
        <v>477</v>
      </c>
      <c r="F25" s="165">
        <f>E25</f>
        <v>477</v>
      </c>
      <c r="G25" s="165">
        <v>0</v>
      </c>
      <c r="H25" s="165">
        <f>F25</f>
        <v>477</v>
      </c>
      <c r="I25" s="165">
        <v>0</v>
      </c>
      <c r="J25" s="165">
        <v>0</v>
      </c>
    </row>
    <row r="26" spans="1:10" ht="19.5" customHeight="1">
      <c r="A26" s="10">
        <v>751</v>
      </c>
      <c r="B26" s="10">
        <v>75101</v>
      </c>
      <c r="C26" s="10">
        <v>4120</v>
      </c>
      <c r="D26" s="165">
        <v>0</v>
      </c>
      <c r="E26" s="165">
        <v>69</v>
      </c>
      <c r="F26" s="165">
        <f>E26</f>
        <v>69</v>
      </c>
      <c r="G26" s="165">
        <v>0</v>
      </c>
      <c r="H26" s="165">
        <f>F26</f>
        <v>69</v>
      </c>
      <c r="I26" s="165">
        <v>0</v>
      </c>
      <c r="J26" s="165">
        <v>0</v>
      </c>
    </row>
    <row r="27" spans="1:10" s="25" customFormat="1" ht="19.5" customHeight="1">
      <c r="A27" s="211" t="s">
        <v>466</v>
      </c>
      <c r="B27" s="211"/>
      <c r="C27" s="211"/>
      <c r="D27" s="134">
        <f>D26+D25+D24+D23</f>
        <v>3323</v>
      </c>
      <c r="E27" s="134">
        <f aca="true" t="shared" si="2" ref="E27:J27">E26+E25+E24+E23</f>
        <v>3323</v>
      </c>
      <c r="F27" s="134">
        <f t="shared" si="2"/>
        <v>3323</v>
      </c>
      <c r="G27" s="134">
        <f t="shared" si="2"/>
        <v>2777</v>
      </c>
      <c r="H27" s="134">
        <f t="shared" si="2"/>
        <v>546</v>
      </c>
      <c r="I27" s="134">
        <f t="shared" si="2"/>
        <v>0</v>
      </c>
      <c r="J27" s="134">
        <f t="shared" si="2"/>
        <v>0</v>
      </c>
    </row>
    <row r="28" spans="1:10" ht="19.5" customHeight="1">
      <c r="A28" s="10">
        <v>852</v>
      </c>
      <c r="B28" s="10">
        <v>85212</v>
      </c>
      <c r="C28" s="10">
        <v>2010</v>
      </c>
      <c r="D28" s="165">
        <f>7047970+835318+21000</f>
        <v>7904288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</row>
    <row r="29" spans="1:10" ht="19.5" customHeight="1">
      <c r="A29" s="10">
        <v>852</v>
      </c>
      <c r="B29" s="10">
        <v>85212</v>
      </c>
      <c r="C29" s="10">
        <v>3110</v>
      </c>
      <c r="D29" s="165">
        <v>0</v>
      </c>
      <c r="E29" s="165">
        <f>6796657+810990</f>
        <v>7607647</v>
      </c>
      <c r="F29" s="165">
        <f>E29</f>
        <v>7607647</v>
      </c>
      <c r="G29" s="165">
        <v>0</v>
      </c>
      <c r="H29" s="165">
        <v>0</v>
      </c>
      <c r="I29" s="165">
        <v>0</v>
      </c>
      <c r="J29" s="165">
        <v>0</v>
      </c>
    </row>
    <row r="30" spans="1:10" ht="19.5" customHeight="1">
      <c r="A30" s="10">
        <v>852</v>
      </c>
      <c r="B30" s="10">
        <v>85212</v>
      </c>
      <c r="C30" s="10">
        <v>4010</v>
      </c>
      <c r="D30" s="165">
        <v>0</v>
      </c>
      <c r="E30" s="165">
        <f>119908+20000</f>
        <v>139908</v>
      </c>
      <c r="F30" s="165">
        <f aca="true" t="shared" si="3" ref="F30:F45">E30</f>
        <v>139908</v>
      </c>
      <c r="G30" s="165">
        <f>E30</f>
        <v>139908</v>
      </c>
      <c r="H30" s="165">
        <v>0</v>
      </c>
      <c r="I30" s="165">
        <v>0</v>
      </c>
      <c r="J30" s="165">
        <v>0</v>
      </c>
    </row>
    <row r="31" spans="1:10" ht="19.5" customHeight="1">
      <c r="A31" s="10">
        <v>852</v>
      </c>
      <c r="B31" s="10">
        <v>85212</v>
      </c>
      <c r="C31" s="10">
        <v>4040</v>
      </c>
      <c r="D31" s="165">
        <v>0</v>
      </c>
      <c r="E31" s="165">
        <v>7645</v>
      </c>
      <c r="F31" s="165">
        <f t="shared" si="3"/>
        <v>7645</v>
      </c>
      <c r="G31" s="165">
        <f>E31</f>
        <v>7645</v>
      </c>
      <c r="H31" s="165">
        <v>0</v>
      </c>
      <c r="I31" s="165">
        <v>0</v>
      </c>
      <c r="J31" s="165">
        <v>0</v>
      </c>
    </row>
    <row r="32" spans="1:10" ht="19.5" customHeight="1">
      <c r="A32" s="10">
        <v>852</v>
      </c>
      <c r="B32" s="10">
        <v>85212</v>
      </c>
      <c r="C32" s="10">
        <v>4110</v>
      </c>
      <c r="D32" s="165">
        <v>0</v>
      </c>
      <c r="E32" s="165">
        <f>65727+3088+1050</f>
        <v>69865</v>
      </c>
      <c r="F32" s="165">
        <f t="shared" si="3"/>
        <v>69865</v>
      </c>
      <c r="G32" s="165">
        <v>0</v>
      </c>
      <c r="H32" s="165">
        <f>E32</f>
        <v>69865</v>
      </c>
      <c r="I32" s="165">
        <v>0</v>
      </c>
      <c r="J32" s="165">
        <v>0</v>
      </c>
    </row>
    <row r="33" spans="1:10" ht="19.5" customHeight="1">
      <c r="A33" s="10">
        <v>852</v>
      </c>
      <c r="B33" s="10">
        <v>85212</v>
      </c>
      <c r="C33" s="10">
        <v>4120</v>
      </c>
      <c r="D33" s="165">
        <v>0</v>
      </c>
      <c r="E33" s="165">
        <f>3126+490+167</f>
        <v>3783</v>
      </c>
      <c r="F33" s="165">
        <f t="shared" si="3"/>
        <v>3783</v>
      </c>
      <c r="G33" s="165">
        <v>0</v>
      </c>
      <c r="H33" s="165">
        <f>E33</f>
        <v>3783</v>
      </c>
      <c r="I33" s="165">
        <v>0</v>
      </c>
      <c r="J33" s="165">
        <v>0</v>
      </c>
    </row>
    <row r="34" spans="1:10" ht="19.5" customHeight="1">
      <c r="A34" s="10">
        <v>852</v>
      </c>
      <c r="B34" s="10">
        <v>85212</v>
      </c>
      <c r="C34" s="10">
        <v>4170</v>
      </c>
      <c r="D34" s="165">
        <v>0</v>
      </c>
      <c r="E34" s="165">
        <f>2400+6800</f>
        <v>9200</v>
      </c>
      <c r="F34" s="165">
        <f t="shared" si="3"/>
        <v>9200</v>
      </c>
      <c r="G34" s="165">
        <f>E34</f>
        <v>9200</v>
      </c>
      <c r="H34" s="165">
        <v>0</v>
      </c>
      <c r="I34" s="165">
        <v>0</v>
      </c>
      <c r="J34" s="165">
        <v>0</v>
      </c>
    </row>
    <row r="35" spans="1:10" ht="19.5" customHeight="1">
      <c r="A35" s="10">
        <v>852</v>
      </c>
      <c r="B35" s="10">
        <v>85212</v>
      </c>
      <c r="C35" s="10">
        <v>4210</v>
      </c>
      <c r="D35" s="165">
        <v>0</v>
      </c>
      <c r="E35" s="165">
        <f>14057+9963-6000</f>
        <v>18020</v>
      </c>
      <c r="F35" s="165">
        <f t="shared" si="3"/>
        <v>18020</v>
      </c>
      <c r="G35" s="165">
        <v>0</v>
      </c>
      <c r="H35" s="165">
        <v>0</v>
      </c>
      <c r="I35" s="165">
        <v>0</v>
      </c>
      <c r="J35" s="165">
        <v>0</v>
      </c>
    </row>
    <row r="36" spans="1:10" ht="19.5" customHeight="1">
      <c r="A36" s="10">
        <v>852</v>
      </c>
      <c r="B36" s="10">
        <v>85212</v>
      </c>
      <c r="C36" s="10">
        <v>4270</v>
      </c>
      <c r="D36" s="165">
        <v>0</v>
      </c>
      <c r="E36" s="165">
        <v>6000</v>
      </c>
      <c r="F36" s="165">
        <f>E36</f>
        <v>6000</v>
      </c>
      <c r="G36" s="165">
        <v>0</v>
      </c>
      <c r="H36" s="165">
        <v>0</v>
      </c>
      <c r="I36" s="165">
        <v>0</v>
      </c>
      <c r="J36" s="165">
        <v>0</v>
      </c>
    </row>
    <row r="37" spans="1:10" ht="19.5" customHeight="1">
      <c r="A37" s="10">
        <v>852</v>
      </c>
      <c r="B37" s="10">
        <v>85212</v>
      </c>
      <c r="C37" s="10">
        <v>4300</v>
      </c>
      <c r="D37" s="165">
        <v>0</v>
      </c>
      <c r="E37" s="165">
        <v>26000</v>
      </c>
      <c r="F37" s="165">
        <f t="shared" si="3"/>
        <v>26000</v>
      </c>
      <c r="G37" s="165">
        <v>0</v>
      </c>
      <c r="H37" s="165">
        <v>0</v>
      </c>
      <c r="I37" s="165">
        <v>0</v>
      </c>
      <c r="J37" s="165">
        <v>0</v>
      </c>
    </row>
    <row r="38" spans="1:10" ht="19.5" customHeight="1">
      <c r="A38" s="10">
        <v>852</v>
      </c>
      <c r="B38" s="10">
        <v>85212</v>
      </c>
      <c r="C38" s="10">
        <v>4370</v>
      </c>
      <c r="D38" s="165">
        <v>0</v>
      </c>
      <c r="E38" s="165">
        <v>7530</v>
      </c>
      <c r="F38" s="165">
        <f t="shared" si="3"/>
        <v>7530</v>
      </c>
      <c r="G38" s="165">
        <v>0</v>
      </c>
      <c r="H38" s="165">
        <v>0</v>
      </c>
      <c r="I38" s="165">
        <v>0</v>
      </c>
      <c r="J38" s="165">
        <v>0</v>
      </c>
    </row>
    <row r="39" spans="1:10" ht="19.5" customHeight="1">
      <c r="A39" s="10">
        <v>852</v>
      </c>
      <c r="B39" s="10">
        <v>85212</v>
      </c>
      <c r="C39" s="10">
        <v>4440</v>
      </c>
      <c r="D39" s="165">
        <v>0</v>
      </c>
      <c r="E39" s="165">
        <v>2720</v>
      </c>
      <c r="F39" s="165">
        <f t="shared" si="3"/>
        <v>2720</v>
      </c>
      <c r="G39" s="165">
        <v>0</v>
      </c>
      <c r="H39" s="165">
        <v>0</v>
      </c>
      <c r="I39" s="165">
        <v>0</v>
      </c>
      <c r="J39" s="165">
        <v>0</v>
      </c>
    </row>
    <row r="40" spans="1:10" ht="19.5" customHeight="1">
      <c r="A40" s="10">
        <v>852</v>
      </c>
      <c r="B40" s="10">
        <v>85212</v>
      </c>
      <c r="C40" s="10">
        <v>4700</v>
      </c>
      <c r="D40" s="165">
        <v>0</v>
      </c>
      <c r="E40" s="165">
        <f>750+520</f>
        <v>1270</v>
      </c>
      <c r="F40" s="165">
        <f t="shared" si="3"/>
        <v>1270</v>
      </c>
      <c r="G40" s="165">
        <v>0</v>
      </c>
      <c r="H40" s="165">
        <v>0</v>
      </c>
      <c r="I40" s="165">
        <v>0</v>
      </c>
      <c r="J40" s="165">
        <v>0</v>
      </c>
    </row>
    <row r="41" spans="1:10" ht="19.5" customHeight="1">
      <c r="A41" s="10">
        <v>852</v>
      </c>
      <c r="B41" s="10">
        <v>85212</v>
      </c>
      <c r="C41" s="10">
        <v>4740</v>
      </c>
      <c r="D41" s="165">
        <v>0</v>
      </c>
      <c r="E41" s="165">
        <f>1000+1200</f>
        <v>2200</v>
      </c>
      <c r="F41" s="165">
        <f>1000+1200</f>
        <v>2200</v>
      </c>
      <c r="G41" s="165">
        <v>0</v>
      </c>
      <c r="H41" s="165">
        <v>0</v>
      </c>
      <c r="I41" s="165">
        <v>0</v>
      </c>
      <c r="J41" s="165">
        <v>0</v>
      </c>
    </row>
    <row r="42" spans="1:10" ht="19.5" customHeight="1">
      <c r="A42" s="10">
        <v>852</v>
      </c>
      <c r="B42" s="10">
        <v>85212</v>
      </c>
      <c r="C42" s="10">
        <v>4750</v>
      </c>
      <c r="D42" s="165">
        <v>0</v>
      </c>
      <c r="E42" s="165">
        <f>1000+1500</f>
        <v>2500</v>
      </c>
      <c r="F42" s="165">
        <f t="shared" si="3"/>
        <v>2500</v>
      </c>
      <c r="G42" s="165">
        <v>0</v>
      </c>
      <c r="H42" s="165">
        <v>0</v>
      </c>
      <c r="I42" s="165">
        <v>0</v>
      </c>
      <c r="J42" s="165">
        <v>0</v>
      </c>
    </row>
    <row r="43" spans="1:10" ht="19.5" customHeight="1">
      <c r="A43" s="10">
        <v>852</v>
      </c>
      <c r="B43" s="10">
        <v>85212</v>
      </c>
      <c r="C43" s="10">
        <v>6060</v>
      </c>
      <c r="D43" s="165">
        <v>0</v>
      </c>
      <c r="E43" s="165">
        <v>7600</v>
      </c>
      <c r="F43" s="165">
        <v>0</v>
      </c>
      <c r="G43" s="165">
        <v>0</v>
      </c>
      <c r="H43" s="165">
        <v>0</v>
      </c>
      <c r="I43" s="165">
        <v>0</v>
      </c>
      <c r="J43" s="165">
        <v>7600</v>
      </c>
    </row>
    <row r="44" spans="1:10" ht="19.5" customHeight="1">
      <c r="A44" s="10">
        <v>852</v>
      </c>
      <c r="B44" s="10">
        <v>85212</v>
      </c>
      <c r="C44" s="10">
        <v>6310</v>
      </c>
      <c r="D44" s="165">
        <v>7600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</row>
    <row r="45" spans="1:10" ht="19.5" customHeight="1">
      <c r="A45" s="10">
        <v>852</v>
      </c>
      <c r="B45" s="10">
        <v>85213</v>
      </c>
      <c r="C45" s="10">
        <v>2010</v>
      </c>
      <c r="D45" s="165">
        <f>43274-5389</f>
        <v>37885</v>
      </c>
      <c r="E45" s="165">
        <v>0</v>
      </c>
      <c r="F45" s="165">
        <f t="shared" si="3"/>
        <v>0</v>
      </c>
      <c r="G45" s="165">
        <v>0</v>
      </c>
      <c r="H45" s="165">
        <v>0</v>
      </c>
      <c r="I45" s="165">
        <v>0</v>
      </c>
      <c r="J45" s="165">
        <v>0</v>
      </c>
    </row>
    <row r="46" spans="1:10" ht="19.5" customHeight="1">
      <c r="A46" s="10">
        <v>852</v>
      </c>
      <c r="B46" s="10">
        <v>85213</v>
      </c>
      <c r="C46" s="10">
        <v>4130</v>
      </c>
      <c r="D46" s="165">
        <v>0</v>
      </c>
      <c r="E46" s="165">
        <f>43274-5389</f>
        <v>37885</v>
      </c>
      <c r="F46" s="165">
        <f>E46</f>
        <v>37885</v>
      </c>
      <c r="G46" s="165">
        <v>0</v>
      </c>
      <c r="H46" s="165">
        <f>E46</f>
        <v>37885</v>
      </c>
      <c r="I46" s="165">
        <v>0</v>
      </c>
      <c r="J46" s="165">
        <v>0</v>
      </c>
    </row>
    <row r="47" spans="1:10" ht="19.5" customHeight="1">
      <c r="A47" s="10">
        <v>852</v>
      </c>
      <c r="B47" s="10">
        <v>85214</v>
      </c>
      <c r="C47" s="10">
        <v>2010</v>
      </c>
      <c r="D47" s="165">
        <f>314885-11000</f>
        <v>303885</v>
      </c>
      <c r="E47" s="165">
        <v>0</v>
      </c>
      <c r="F47" s="165">
        <f>E47</f>
        <v>0</v>
      </c>
      <c r="G47" s="165">
        <f>G48</f>
        <v>0</v>
      </c>
      <c r="H47" s="165">
        <f>H48</f>
        <v>0</v>
      </c>
      <c r="I47" s="165">
        <v>0</v>
      </c>
      <c r="J47" s="165">
        <v>0</v>
      </c>
    </row>
    <row r="48" spans="1:10" ht="19.5" customHeight="1">
      <c r="A48" s="10">
        <v>852</v>
      </c>
      <c r="B48" s="10">
        <v>85214</v>
      </c>
      <c r="C48" s="10">
        <v>3110</v>
      </c>
      <c r="D48" s="165">
        <v>0</v>
      </c>
      <c r="E48" s="165">
        <f>314885-11000</f>
        <v>303885</v>
      </c>
      <c r="F48" s="165">
        <f>E48</f>
        <v>303885</v>
      </c>
      <c r="G48" s="165">
        <v>0</v>
      </c>
      <c r="H48" s="165">
        <v>0</v>
      </c>
      <c r="I48" s="165">
        <v>0</v>
      </c>
      <c r="J48" s="165">
        <v>0</v>
      </c>
    </row>
    <row r="49" spans="1:10" ht="19.5" customHeight="1">
      <c r="A49" s="10">
        <v>852</v>
      </c>
      <c r="B49" s="10">
        <v>85228</v>
      </c>
      <c r="C49" s="10">
        <v>2010</v>
      </c>
      <c r="D49" s="165">
        <v>48234</v>
      </c>
      <c r="E49" s="165">
        <v>0</v>
      </c>
      <c r="F49" s="165">
        <f>E49</f>
        <v>0</v>
      </c>
      <c r="G49" s="165">
        <v>0</v>
      </c>
      <c r="H49" s="165">
        <v>0</v>
      </c>
      <c r="I49" s="165">
        <v>0</v>
      </c>
      <c r="J49" s="165">
        <v>0</v>
      </c>
    </row>
    <row r="50" spans="1:10" ht="19.5" customHeight="1">
      <c r="A50" s="10">
        <v>852</v>
      </c>
      <c r="B50" s="10">
        <v>85228</v>
      </c>
      <c r="C50" s="10">
        <v>3020</v>
      </c>
      <c r="D50" s="165">
        <v>0</v>
      </c>
      <c r="E50" s="165">
        <v>251</v>
      </c>
      <c r="F50" s="165">
        <f>E50</f>
        <v>251</v>
      </c>
      <c r="G50" s="165">
        <v>0</v>
      </c>
      <c r="H50" s="165">
        <v>0</v>
      </c>
      <c r="I50" s="165">
        <v>0</v>
      </c>
      <c r="J50" s="165">
        <v>0</v>
      </c>
    </row>
    <row r="51" spans="1:10" ht="19.5" customHeight="1">
      <c r="A51" s="10">
        <v>852</v>
      </c>
      <c r="B51" s="10">
        <v>85228</v>
      </c>
      <c r="C51" s="10">
        <v>4010</v>
      </c>
      <c r="D51" s="165">
        <v>0</v>
      </c>
      <c r="E51" s="165">
        <v>34608</v>
      </c>
      <c r="F51" s="165">
        <f aca="true" t="shared" si="4" ref="F51:F56">E51</f>
        <v>34608</v>
      </c>
      <c r="G51" s="165">
        <f>F51</f>
        <v>34608</v>
      </c>
      <c r="H51" s="165">
        <v>0</v>
      </c>
      <c r="I51" s="165">
        <v>0</v>
      </c>
      <c r="J51" s="165">
        <v>0</v>
      </c>
    </row>
    <row r="52" spans="1:10" ht="19.5" customHeight="1">
      <c r="A52" s="10">
        <v>852</v>
      </c>
      <c r="B52" s="10">
        <v>85228</v>
      </c>
      <c r="C52" s="10">
        <v>4040</v>
      </c>
      <c r="D52" s="165">
        <v>0</v>
      </c>
      <c r="E52" s="165">
        <v>1225</v>
      </c>
      <c r="F52" s="165">
        <f t="shared" si="4"/>
        <v>1225</v>
      </c>
      <c r="G52" s="165">
        <f>F52</f>
        <v>1225</v>
      </c>
      <c r="H52" s="165">
        <v>0</v>
      </c>
      <c r="I52" s="165">
        <v>0</v>
      </c>
      <c r="J52" s="165">
        <v>0</v>
      </c>
    </row>
    <row r="53" spans="1:10" ht="19.5" customHeight="1">
      <c r="A53" s="10">
        <v>852</v>
      </c>
      <c r="B53" s="10">
        <v>85228</v>
      </c>
      <c r="C53" s="10">
        <v>4110</v>
      </c>
      <c r="D53" s="165">
        <v>0</v>
      </c>
      <c r="E53" s="165">
        <v>6058</v>
      </c>
      <c r="F53" s="165">
        <f t="shared" si="4"/>
        <v>6058</v>
      </c>
      <c r="G53" s="165">
        <v>0</v>
      </c>
      <c r="H53" s="165">
        <f>F53</f>
        <v>6058</v>
      </c>
      <c r="I53" s="165">
        <v>0</v>
      </c>
      <c r="J53" s="165">
        <v>0</v>
      </c>
    </row>
    <row r="54" spans="1:10" ht="19.5" customHeight="1">
      <c r="A54" s="10">
        <v>852</v>
      </c>
      <c r="B54" s="10">
        <v>85228</v>
      </c>
      <c r="C54" s="10">
        <v>4120</v>
      </c>
      <c r="D54" s="165">
        <v>0</v>
      </c>
      <c r="E54" s="165">
        <v>878</v>
      </c>
      <c r="F54" s="165">
        <f t="shared" si="4"/>
        <v>878</v>
      </c>
      <c r="G54" s="165">
        <v>0</v>
      </c>
      <c r="H54" s="165">
        <f>F54</f>
        <v>878</v>
      </c>
      <c r="I54" s="165">
        <v>0</v>
      </c>
      <c r="J54" s="165">
        <v>0</v>
      </c>
    </row>
    <row r="55" spans="1:10" ht="19.5" customHeight="1">
      <c r="A55" s="10">
        <v>852</v>
      </c>
      <c r="B55" s="10">
        <v>85228</v>
      </c>
      <c r="C55" s="10">
        <v>4170</v>
      </c>
      <c r="D55" s="165">
        <v>0</v>
      </c>
      <c r="E55" s="165">
        <v>3400</v>
      </c>
      <c r="F55" s="165">
        <f t="shared" si="4"/>
        <v>3400</v>
      </c>
      <c r="G55" s="165">
        <f>F55</f>
        <v>3400</v>
      </c>
      <c r="H55" s="165">
        <v>0</v>
      </c>
      <c r="I55" s="165">
        <v>0</v>
      </c>
      <c r="J55" s="165">
        <v>0</v>
      </c>
    </row>
    <row r="56" spans="1:10" ht="19.5" customHeight="1">
      <c r="A56" s="10">
        <v>852</v>
      </c>
      <c r="B56" s="10">
        <v>85228</v>
      </c>
      <c r="C56" s="10">
        <v>4440</v>
      </c>
      <c r="D56" s="165">
        <v>0</v>
      </c>
      <c r="E56" s="165">
        <v>1814</v>
      </c>
      <c r="F56" s="165">
        <f t="shared" si="4"/>
        <v>1814</v>
      </c>
      <c r="G56" s="165">
        <v>0</v>
      </c>
      <c r="H56" s="165">
        <v>0</v>
      </c>
      <c r="I56" s="165">
        <v>0</v>
      </c>
      <c r="J56" s="165">
        <v>0</v>
      </c>
    </row>
    <row r="57" spans="1:10" s="25" customFormat="1" ht="19.5" customHeight="1">
      <c r="A57" s="211" t="s">
        <v>467</v>
      </c>
      <c r="B57" s="211"/>
      <c r="C57" s="211"/>
      <c r="D57" s="134">
        <f>D56+D55+D54+D53+D52+D51+D40+D50+D49+D48+D47+D46+D45+D42+D39+D38+D37+D35+D34+D33+D32+D31+D30+D29+D28+D43+D41+D44+D36</f>
        <v>8301892</v>
      </c>
      <c r="E57" s="134">
        <f aca="true" t="shared" si="5" ref="E57:J57">E56+E55+E54+E53+E52+E51+E40+E50+E49+E48+E47+E46+E45+E42+E39+E38+E37+E35+E34+E33+E32+E31+E30+E29+E28+E43+E41+E44+E36</f>
        <v>8301892</v>
      </c>
      <c r="F57" s="134">
        <f t="shared" si="5"/>
        <v>8294292</v>
      </c>
      <c r="G57" s="134">
        <f t="shared" si="5"/>
        <v>195986</v>
      </c>
      <c r="H57" s="134">
        <f t="shared" si="5"/>
        <v>118469</v>
      </c>
      <c r="I57" s="134">
        <f t="shared" si="5"/>
        <v>0</v>
      </c>
      <c r="J57" s="134">
        <f t="shared" si="5"/>
        <v>7600</v>
      </c>
    </row>
    <row r="58" spans="1:10" ht="19.5" customHeight="1">
      <c r="A58" s="214" t="s">
        <v>40</v>
      </c>
      <c r="B58" s="214"/>
      <c r="C58" s="214"/>
      <c r="D58" s="155">
        <f aca="true" t="shared" si="6" ref="D58:J58">D57+D27+D22+D17</f>
        <v>8562998</v>
      </c>
      <c r="E58" s="155">
        <f t="shared" si="6"/>
        <v>8562998</v>
      </c>
      <c r="F58" s="155">
        <f t="shared" si="6"/>
        <v>8555398</v>
      </c>
      <c r="G58" s="155">
        <f t="shared" si="6"/>
        <v>300735</v>
      </c>
      <c r="H58" s="155">
        <f t="shared" si="6"/>
        <v>138995</v>
      </c>
      <c r="I58" s="155">
        <f t="shared" si="6"/>
        <v>0</v>
      </c>
      <c r="J58" s="155">
        <f t="shared" si="6"/>
        <v>7600</v>
      </c>
    </row>
    <row r="60" spans="5:10" ht="12.75">
      <c r="E60" s="108"/>
      <c r="F60" s="108" t="s">
        <v>545</v>
      </c>
      <c r="J60" t="s">
        <v>571</v>
      </c>
    </row>
    <row r="61" ht="12.75">
      <c r="J61" t="s">
        <v>572</v>
      </c>
    </row>
    <row r="63" ht="12.75">
      <c r="J63" t="s">
        <v>573</v>
      </c>
    </row>
  </sheetData>
  <sheetProtection/>
  <mergeCells count="16"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  <mergeCell ref="H1:J4"/>
    <mergeCell ref="A22:C22"/>
    <mergeCell ref="A27:C27"/>
    <mergeCell ref="A57:C57"/>
    <mergeCell ref="A6:J6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3">
      <selection activeCell="I35" sqref="I3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219" t="s">
        <v>574</v>
      </c>
      <c r="H1" s="219"/>
      <c r="I1" s="219"/>
    </row>
    <row r="2" spans="7:9" ht="12.75" customHeight="1">
      <c r="G2" s="219"/>
      <c r="H2" s="219"/>
      <c r="I2" s="219"/>
    </row>
    <row r="3" spans="7:9" ht="12.75">
      <c r="G3" s="219"/>
      <c r="H3" s="219"/>
      <c r="I3" s="219"/>
    </row>
    <row r="4" spans="7:9" ht="12.75">
      <c r="G4" s="219"/>
      <c r="H4" s="219"/>
      <c r="I4" s="219"/>
    </row>
    <row r="5" spans="7:9" ht="12.75">
      <c r="G5" s="219"/>
      <c r="H5" s="219"/>
      <c r="I5" s="219"/>
    </row>
    <row r="7" spans="1:9" ht="16.5">
      <c r="A7" s="201" t="s">
        <v>485</v>
      </c>
      <c r="B7" s="201"/>
      <c r="C7" s="201"/>
      <c r="D7" s="201"/>
      <c r="E7" s="201"/>
      <c r="F7" s="201"/>
      <c r="G7" s="201"/>
      <c r="H7" s="201"/>
      <c r="I7" s="201"/>
    </row>
    <row r="8" spans="1:9" ht="16.5">
      <c r="A8" s="201" t="s">
        <v>102</v>
      </c>
      <c r="B8" s="201"/>
      <c r="C8" s="201"/>
      <c r="D8" s="201"/>
      <c r="E8" s="201"/>
      <c r="F8" s="201"/>
      <c r="G8" s="201"/>
      <c r="H8" s="201"/>
      <c r="I8" s="201"/>
    </row>
    <row r="9" spans="1:9" ht="13.5" customHeight="1">
      <c r="A9" s="29"/>
      <c r="B9" s="29"/>
      <c r="C9" s="29"/>
      <c r="D9" s="29"/>
      <c r="E9" s="29"/>
      <c r="F9" s="29"/>
      <c r="G9" s="29"/>
      <c r="H9" s="29"/>
      <c r="I9" s="29"/>
    </row>
    <row r="10" spans="1:9" ht="12.75">
      <c r="A10" s="1"/>
      <c r="B10" s="1"/>
      <c r="C10" s="1"/>
      <c r="D10" s="1"/>
      <c r="E10" s="1"/>
      <c r="F10" s="1"/>
      <c r="G10" s="1"/>
      <c r="H10" s="1"/>
      <c r="I10" s="5" t="s">
        <v>14</v>
      </c>
    </row>
    <row r="11" spans="1:9" ht="15" customHeight="1">
      <c r="A11" s="244" t="s">
        <v>18</v>
      </c>
      <c r="B11" s="244" t="s">
        <v>56</v>
      </c>
      <c r="C11" s="242" t="s">
        <v>1</v>
      </c>
      <c r="D11" s="242" t="s">
        <v>58</v>
      </c>
      <c r="E11" s="242" t="s">
        <v>103</v>
      </c>
      <c r="F11" s="242"/>
      <c r="G11" s="242" t="s">
        <v>62</v>
      </c>
      <c r="H11" s="242"/>
      <c r="I11" s="242" t="s">
        <v>64</v>
      </c>
    </row>
    <row r="12" spans="1:9" ht="15" customHeight="1">
      <c r="A12" s="244"/>
      <c r="B12" s="244"/>
      <c r="C12" s="242"/>
      <c r="D12" s="242"/>
      <c r="E12" s="242" t="s">
        <v>104</v>
      </c>
      <c r="F12" s="242" t="s">
        <v>105</v>
      </c>
      <c r="G12" s="242" t="s">
        <v>104</v>
      </c>
      <c r="H12" s="242" t="s">
        <v>106</v>
      </c>
      <c r="I12" s="242"/>
    </row>
    <row r="13" spans="1:9" ht="15" customHeight="1">
      <c r="A13" s="244"/>
      <c r="B13" s="244"/>
      <c r="C13" s="242"/>
      <c r="D13" s="242"/>
      <c r="E13" s="242"/>
      <c r="F13" s="242"/>
      <c r="G13" s="242"/>
      <c r="H13" s="242"/>
      <c r="I13" s="242"/>
    </row>
    <row r="14" spans="1:9" ht="15" customHeight="1">
      <c r="A14" s="244"/>
      <c r="B14" s="244"/>
      <c r="C14" s="242"/>
      <c r="D14" s="242"/>
      <c r="E14" s="242"/>
      <c r="F14" s="242"/>
      <c r="G14" s="242"/>
      <c r="H14" s="242"/>
      <c r="I14" s="242"/>
    </row>
    <row r="15" spans="1:9" ht="7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</row>
    <row r="16" spans="1:9" ht="21.75" customHeight="1">
      <c r="A16" s="15" t="s">
        <v>57</v>
      </c>
      <c r="B16" s="11" t="s">
        <v>107</v>
      </c>
      <c r="C16" s="11"/>
      <c r="D16" s="133">
        <f aca="true" t="shared" si="0" ref="D16:I16">D18+D19</f>
        <v>53367</v>
      </c>
      <c r="E16" s="133">
        <f t="shared" si="0"/>
        <v>4025749</v>
      </c>
      <c r="F16" s="133">
        <f t="shared" si="0"/>
        <v>2631389</v>
      </c>
      <c r="G16" s="133">
        <f t="shared" si="0"/>
        <v>4018451</v>
      </c>
      <c r="H16" s="133">
        <f t="shared" si="0"/>
        <v>0</v>
      </c>
      <c r="I16" s="133">
        <f t="shared" si="0"/>
        <v>60665</v>
      </c>
    </row>
    <row r="17" spans="1:9" ht="21.75" customHeight="1">
      <c r="A17" s="16"/>
      <c r="B17" s="55" t="s">
        <v>5</v>
      </c>
      <c r="C17" s="55"/>
      <c r="D17" s="131"/>
      <c r="E17" s="131"/>
      <c r="F17" s="131"/>
      <c r="G17" s="131"/>
      <c r="H17" s="131"/>
      <c r="I17" s="131"/>
    </row>
    <row r="18" spans="1:10" ht="21.75" customHeight="1">
      <c r="A18" s="16"/>
      <c r="B18" s="56" t="s">
        <v>446</v>
      </c>
      <c r="C18" s="56">
        <v>801</v>
      </c>
      <c r="D18" s="131">
        <v>5907</v>
      </c>
      <c r="E18" s="131">
        <f>2311560+5566+30000+90823</f>
        <v>2437949</v>
      </c>
      <c r="F18" s="131">
        <f>1800000+5566+30000+90823</f>
        <v>1926389</v>
      </c>
      <c r="G18" s="131">
        <f>2311849+5566+30000+90823</f>
        <v>2438238</v>
      </c>
      <c r="H18" s="131">
        <v>0</v>
      </c>
      <c r="I18" s="131">
        <f>D18+E18-G18</f>
        <v>5618</v>
      </c>
      <c r="J18" s="151"/>
    </row>
    <row r="19" spans="1:9" ht="21.75" customHeight="1">
      <c r="A19" s="16"/>
      <c r="B19" s="56" t="s">
        <v>447</v>
      </c>
      <c r="C19" s="56">
        <v>926</v>
      </c>
      <c r="D19" s="131">
        <v>47460</v>
      </c>
      <c r="E19" s="131">
        <f>1522800+20000+45000</f>
        <v>1587800</v>
      </c>
      <c r="F19" s="131">
        <f>640000+20000+45000</f>
        <v>705000</v>
      </c>
      <c r="G19" s="131">
        <f>1515213+20000+45000</f>
        <v>1580213</v>
      </c>
      <c r="H19" s="131">
        <v>0</v>
      </c>
      <c r="I19" s="131">
        <f>D19+E19-G19</f>
        <v>55047</v>
      </c>
    </row>
    <row r="20" spans="1:9" ht="21.75" customHeight="1">
      <c r="A20" s="15" t="s">
        <v>59</v>
      </c>
      <c r="B20" s="11" t="s">
        <v>108</v>
      </c>
      <c r="C20" s="11"/>
      <c r="D20" s="133"/>
      <c r="E20" s="133"/>
      <c r="F20" s="133"/>
      <c r="G20" s="133"/>
      <c r="H20" s="133"/>
      <c r="I20" s="133"/>
    </row>
    <row r="21" spans="1:9" ht="21.75" customHeight="1">
      <c r="A21" s="16"/>
      <c r="B21" s="55" t="s">
        <v>5</v>
      </c>
      <c r="C21" s="55"/>
      <c r="D21" s="131"/>
      <c r="E21" s="131"/>
      <c r="F21" s="131"/>
      <c r="G21" s="131"/>
      <c r="H21" s="131"/>
      <c r="I21" s="131"/>
    </row>
    <row r="22" spans="1:9" ht="21.75" customHeight="1">
      <c r="A22" s="16"/>
      <c r="B22" s="56" t="s">
        <v>6</v>
      </c>
      <c r="C22" s="56"/>
      <c r="D22" s="131"/>
      <c r="E22" s="131"/>
      <c r="F22" s="131"/>
      <c r="G22" s="131"/>
      <c r="H22" s="131"/>
      <c r="I22" s="131"/>
    </row>
    <row r="23" spans="1:9" ht="21.75" customHeight="1">
      <c r="A23" s="15" t="s">
        <v>61</v>
      </c>
      <c r="B23" s="11" t="s">
        <v>109</v>
      </c>
      <c r="C23" s="11"/>
      <c r="D23" s="133">
        <f>D25+D26+D27+D29+D28</f>
        <v>95954</v>
      </c>
      <c r="E23" s="133">
        <f>E25+E26+E27+E29+E28</f>
        <v>522370</v>
      </c>
      <c r="F23" s="133" t="s">
        <v>15</v>
      </c>
      <c r="G23" s="133">
        <f>G25+G26+G27+G28+G29</f>
        <v>526548</v>
      </c>
      <c r="H23" s="133">
        <f>H25+H26+H27+H29</f>
        <v>0</v>
      </c>
      <c r="I23" s="133">
        <f>I25+I26+I27+I29+I28</f>
        <v>91776</v>
      </c>
    </row>
    <row r="24" spans="1:9" ht="21.75" customHeight="1">
      <c r="A24" s="12"/>
      <c r="B24" s="55" t="s">
        <v>5</v>
      </c>
      <c r="C24" s="55"/>
      <c r="D24" s="131"/>
      <c r="E24" s="131"/>
      <c r="F24" s="131"/>
      <c r="G24" s="131"/>
      <c r="H24" s="131"/>
      <c r="I24" s="131"/>
    </row>
    <row r="25" spans="1:9" ht="21.75" customHeight="1">
      <c r="A25" s="12"/>
      <c r="B25" s="56" t="s">
        <v>442</v>
      </c>
      <c r="C25" s="56">
        <v>801</v>
      </c>
      <c r="D25" s="131">
        <v>25011</v>
      </c>
      <c r="E25" s="131">
        <f>110766+10000-41272</f>
        <v>79494</v>
      </c>
      <c r="F25" s="131" t="s">
        <v>15</v>
      </c>
      <c r="G25" s="131">
        <f>110766+10000-41272</f>
        <v>79494</v>
      </c>
      <c r="H25" s="131">
        <v>0</v>
      </c>
      <c r="I25" s="131">
        <v>25011</v>
      </c>
    </row>
    <row r="26" spans="1:9" ht="21.75" customHeight="1">
      <c r="A26" s="12"/>
      <c r="B26" s="56" t="s">
        <v>443</v>
      </c>
      <c r="C26" s="56">
        <v>801</v>
      </c>
      <c r="D26" s="131">
        <v>1165</v>
      </c>
      <c r="E26" s="131">
        <v>6000</v>
      </c>
      <c r="F26" s="131" t="s">
        <v>15</v>
      </c>
      <c r="G26" s="131">
        <v>6000</v>
      </c>
      <c r="H26" s="131">
        <v>0</v>
      </c>
      <c r="I26" s="131">
        <v>1165</v>
      </c>
    </row>
    <row r="27" spans="1:9" ht="21.75" customHeight="1">
      <c r="A27" s="12"/>
      <c r="B27" s="56" t="s">
        <v>444</v>
      </c>
      <c r="C27" s="56">
        <v>801</v>
      </c>
      <c r="D27" s="131">
        <v>7178</v>
      </c>
      <c r="E27" s="131">
        <v>20000</v>
      </c>
      <c r="F27" s="131" t="s">
        <v>15</v>
      </c>
      <c r="G27" s="131">
        <v>24178</v>
      </c>
      <c r="H27" s="131">
        <v>0</v>
      </c>
      <c r="I27" s="131">
        <f>D27+E27-G27</f>
        <v>3000</v>
      </c>
    </row>
    <row r="28" spans="1:9" ht="21.75" customHeight="1">
      <c r="A28" s="195"/>
      <c r="B28" s="196" t="s">
        <v>564</v>
      </c>
      <c r="C28" s="196">
        <v>801</v>
      </c>
      <c r="D28" s="197">
        <v>0</v>
      </c>
      <c r="E28" s="197">
        <v>185324</v>
      </c>
      <c r="F28" s="197" t="s">
        <v>15</v>
      </c>
      <c r="G28" s="197">
        <v>185324</v>
      </c>
      <c r="H28" s="197">
        <v>0</v>
      </c>
      <c r="I28" s="197">
        <v>0</v>
      </c>
    </row>
    <row r="29" spans="1:9" ht="21.75" customHeight="1">
      <c r="A29" s="13"/>
      <c r="B29" s="57" t="s">
        <v>445</v>
      </c>
      <c r="C29" s="57">
        <v>854</v>
      </c>
      <c r="D29" s="132">
        <v>62600</v>
      </c>
      <c r="E29" s="132">
        <f>375604-144052</f>
        <v>231552</v>
      </c>
      <c r="F29" s="132" t="s">
        <v>15</v>
      </c>
      <c r="G29" s="132">
        <f>375604-144052</f>
        <v>231552</v>
      </c>
      <c r="H29" s="132">
        <v>0</v>
      </c>
      <c r="I29" s="132">
        <f>D29+E29-G29</f>
        <v>62600</v>
      </c>
    </row>
    <row r="30" spans="1:9" s="25" customFormat="1" ht="21.75" customHeight="1">
      <c r="A30" s="211" t="s">
        <v>40</v>
      </c>
      <c r="B30" s="211"/>
      <c r="C30" s="26"/>
      <c r="D30" s="134">
        <f>D23+D16</f>
        <v>149321</v>
      </c>
      <c r="E30" s="134">
        <f>E23+E16</f>
        <v>4548119</v>
      </c>
      <c r="F30" s="134">
        <f>F16</f>
        <v>2631389</v>
      </c>
      <c r="G30" s="134">
        <f>G23+G16</f>
        <v>4544999</v>
      </c>
      <c r="H30" s="134">
        <f>H23+H16</f>
        <v>0</v>
      </c>
      <c r="I30" s="134">
        <f>I23+I16</f>
        <v>152441</v>
      </c>
    </row>
    <row r="31" ht="4.5" customHeight="1"/>
    <row r="32" ht="12.75">
      <c r="I32" t="s">
        <v>571</v>
      </c>
    </row>
    <row r="33" ht="12.75">
      <c r="I33" t="s">
        <v>572</v>
      </c>
    </row>
    <row r="35" ht="12.75">
      <c r="I35" t="s">
        <v>573</v>
      </c>
    </row>
  </sheetData>
  <mergeCells count="15">
    <mergeCell ref="I11:I14"/>
    <mergeCell ref="A30:B30"/>
    <mergeCell ref="E11:F11"/>
    <mergeCell ref="G11:H11"/>
    <mergeCell ref="C11:C14"/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" sqref="E1:F4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219" t="s">
        <v>575</v>
      </c>
      <c r="F1" s="219"/>
    </row>
    <row r="2" spans="5:6" ht="12.75">
      <c r="E2" s="219"/>
      <c r="F2" s="219"/>
    </row>
    <row r="3" spans="5:6" ht="12.75">
      <c r="E3" s="219"/>
      <c r="F3" s="219"/>
    </row>
    <row r="4" spans="5:6" ht="12.75">
      <c r="E4" s="219"/>
      <c r="F4" s="219"/>
    </row>
    <row r="6" spans="1:6" ht="19.5" customHeight="1">
      <c r="A6" s="210" t="s">
        <v>486</v>
      </c>
      <c r="B6" s="210"/>
      <c r="C6" s="210"/>
      <c r="D6" s="210"/>
      <c r="E6" s="210"/>
      <c r="F6" s="210"/>
    </row>
    <row r="7" spans="4:6" ht="19.5" customHeight="1">
      <c r="D7" s="29"/>
      <c r="E7" s="29"/>
      <c r="F7" s="29"/>
    </row>
    <row r="8" spans="4:6" ht="19.5" customHeight="1">
      <c r="D8" s="1"/>
      <c r="E8" s="1"/>
      <c r="F8" s="59" t="s">
        <v>14</v>
      </c>
    </row>
    <row r="9" spans="1:6" ht="19.5" customHeight="1">
      <c r="A9" s="244" t="s">
        <v>18</v>
      </c>
      <c r="B9" s="244" t="s">
        <v>1</v>
      </c>
      <c r="C9" s="244" t="s">
        <v>2</v>
      </c>
      <c r="D9" s="242" t="s">
        <v>110</v>
      </c>
      <c r="E9" s="242" t="s">
        <v>111</v>
      </c>
      <c r="F9" s="242" t="s">
        <v>112</v>
      </c>
    </row>
    <row r="10" spans="1:6" ht="19.5" customHeight="1">
      <c r="A10" s="244"/>
      <c r="B10" s="244"/>
      <c r="C10" s="244"/>
      <c r="D10" s="242"/>
      <c r="E10" s="242"/>
      <c r="F10" s="242"/>
    </row>
    <row r="11" spans="1:6" ht="19.5" customHeight="1">
      <c r="A11" s="244"/>
      <c r="B11" s="244"/>
      <c r="C11" s="244"/>
      <c r="D11" s="242"/>
      <c r="E11" s="242"/>
      <c r="F11" s="242"/>
    </row>
    <row r="12" spans="1:6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2.75" customHeight="1">
      <c r="A13" s="60" t="s">
        <v>6</v>
      </c>
      <c r="B13" s="41">
        <v>801</v>
      </c>
      <c r="C13" s="41">
        <v>80104</v>
      </c>
      <c r="D13" s="135" t="s">
        <v>448</v>
      </c>
      <c r="E13" s="136" t="s">
        <v>449</v>
      </c>
      <c r="F13" s="137">
        <f>1800000+5566+30000+90823</f>
        <v>1926389</v>
      </c>
    </row>
    <row r="14" spans="1:6" ht="40.5" customHeight="1">
      <c r="A14" s="60" t="s">
        <v>7</v>
      </c>
      <c r="B14" s="41">
        <v>926</v>
      </c>
      <c r="C14" s="41">
        <v>92604</v>
      </c>
      <c r="D14" s="136" t="s">
        <v>450</v>
      </c>
      <c r="E14" s="136" t="s">
        <v>451</v>
      </c>
      <c r="F14" s="137">
        <f>640000</f>
        <v>640000</v>
      </c>
    </row>
    <row r="15" spans="1:6" s="1" customFormat="1" ht="30" customHeight="1">
      <c r="A15" s="202" t="s">
        <v>40</v>
      </c>
      <c r="B15" s="203"/>
      <c r="C15" s="203"/>
      <c r="D15" s="204"/>
      <c r="E15" s="60"/>
      <c r="F15" s="134">
        <f>F14+F13</f>
        <v>2566389</v>
      </c>
    </row>
    <row r="17" ht="12.75">
      <c r="F17" t="s">
        <v>571</v>
      </c>
    </row>
    <row r="18" ht="12.75">
      <c r="F18" t="s">
        <v>572</v>
      </c>
    </row>
    <row r="19" ht="12.75">
      <c r="F19" t="s">
        <v>573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220" t="s">
        <v>576</v>
      </c>
      <c r="E1" s="220"/>
    </row>
    <row r="2" spans="4:5" ht="12.75">
      <c r="D2" s="220"/>
      <c r="E2" s="220"/>
    </row>
    <row r="3" spans="4:5" ht="12.75">
      <c r="D3" s="220"/>
      <c r="E3" s="220"/>
    </row>
    <row r="5" spans="1:5" ht="19.5" customHeight="1">
      <c r="A5" s="231" t="s">
        <v>487</v>
      </c>
      <c r="B5" s="231"/>
      <c r="C5" s="231"/>
      <c r="D5" s="231"/>
      <c r="E5" s="231"/>
    </row>
    <row r="6" spans="4:5" ht="19.5" customHeight="1">
      <c r="D6" s="29"/>
      <c r="E6" s="29"/>
    </row>
    <row r="7" ht="19.5" customHeight="1">
      <c r="E7" s="59" t="s">
        <v>14</v>
      </c>
    </row>
    <row r="8" spans="1:5" ht="19.5" customHeight="1">
      <c r="A8" s="31" t="s">
        <v>18</v>
      </c>
      <c r="B8" s="31" t="s">
        <v>1</v>
      </c>
      <c r="C8" s="31" t="s">
        <v>2</v>
      </c>
      <c r="D8" s="31" t="s">
        <v>113</v>
      </c>
      <c r="E8" s="31" t="s">
        <v>114</v>
      </c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42.75" customHeight="1">
      <c r="A10" s="68" t="s">
        <v>6</v>
      </c>
      <c r="B10" s="68">
        <v>801</v>
      </c>
      <c r="C10" s="68">
        <v>80110</v>
      </c>
      <c r="D10" s="136" t="s">
        <v>452</v>
      </c>
      <c r="E10" s="137">
        <v>221400</v>
      </c>
    </row>
    <row r="11" spans="1:5" ht="42.75" customHeight="1">
      <c r="A11" s="68" t="s">
        <v>7</v>
      </c>
      <c r="B11" s="68">
        <v>851</v>
      </c>
      <c r="C11" s="68">
        <v>85121</v>
      </c>
      <c r="D11" s="138" t="s">
        <v>453</v>
      </c>
      <c r="E11" s="137">
        <v>20000</v>
      </c>
    </row>
    <row r="12" spans="1:5" ht="30" customHeight="1">
      <c r="A12" s="68" t="s">
        <v>8</v>
      </c>
      <c r="B12" s="68">
        <v>921</v>
      </c>
      <c r="C12" s="68">
        <v>92109</v>
      </c>
      <c r="D12" s="136" t="s">
        <v>454</v>
      </c>
      <c r="E12" s="137">
        <f>588000+3500+30000+3000+10000+20000</f>
        <v>654500</v>
      </c>
    </row>
    <row r="13" spans="1:5" ht="30" customHeight="1">
      <c r="A13" s="68" t="s">
        <v>0</v>
      </c>
      <c r="B13" s="68">
        <v>921</v>
      </c>
      <c r="C13" s="68">
        <v>92116</v>
      </c>
      <c r="D13" s="136" t="s">
        <v>454</v>
      </c>
      <c r="E13" s="137">
        <v>593000</v>
      </c>
    </row>
    <row r="14" spans="1:5" ht="30" customHeight="1">
      <c r="A14" s="68" t="s">
        <v>127</v>
      </c>
      <c r="B14" s="68">
        <v>921</v>
      </c>
      <c r="C14" s="68">
        <v>92118</v>
      </c>
      <c r="D14" s="136" t="s">
        <v>455</v>
      </c>
      <c r="E14" s="137">
        <v>203000</v>
      </c>
    </row>
    <row r="15" spans="1:5" ht="30" customHeight="1">
      <c r="A15" s="209" t="s">
        <v>40</v>
      </c>
      <c r="B15" s="209"/>
      <c r="C15" s="209"/>
      <c r="D15" s="209"/>
      <c r="E15" s="134">
        <f>E14+E13+E12+E10+E11</f>
        <v>1691900</v>
      </c>
    </row>
    <row r="18" ht="12.75">
      <c r="E18" s="1" t="s">
        <v>571</v>
      </c>
    </row>
    <row r="19" ht="12.75">
      <c r="E19" s="1" t="s">
        <v>572</v>
      </c>
    </row>
    <row r="21" ht="12.75">
      <c r="E21" s="1" t="s">
        <v>573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2008-11-07T10:49:09Z</cp:lastPrinted>
  <dcterms:created xsi:type="dcterms:W3CDTF">1998-12-09T13:02:10Z</dcterms:created>
  <dcterms:modified xsi:type="dcterms:W3CDTF">2008-11-20T13:20:36Z</dcterms:modified>
  <cp:category/>
  <cp:version/>
  <cp:contentType/>
  <cp:contentStatus/>
</cp:coreProperties>
</file>