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9" activeTab="1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</sheets>
  <definedNames>
    <definedName name="_xlnm.Print_Titles" localSheetId="0">'3'!$12:$12</definedName>
    <definedName name="_xlnm.Print_Titles" localSheetId="1">'4'!$13:$13</definedName>
    <definedName name="_xlnm.Print_Titles" localSheetId="2">'5'!$11:$11</definedName>
    <definedName name="_xlnm.Print_Titles" localSheetId="5">'8'!$9:$9</definedName>
  </definedNames>
  <calcPr fullCalcOnLoad="1"/>
</workbook>
</file>

<file path=xl/sharedStrings.xml><?xml version="1.0" encoding="utf-8"?>
<sst xmlns="http://schemas.openxmlformats.org/spreadsheetml/2006/main" count="420" uniqueCount="212">
  <si>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</si>
  <si>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</si>
  <si>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</si>
  <si>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</si>
  <si>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</si>
  <si>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</si>
  <si>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</si>
  <si>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</si>
  <si>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Wykup gruntu</t>
  </si>
  <si>
    <t>Budowa ciągu pieszego tzw. Stoku - projekt i wykonawstwo 2006-2009</t>
  </si>
  <si>
    <t>2011 r.</t>
  </si>
  <si>
    <t>01009</t>
  </si>
  <si>
    <t>Upowszechnianie kultury i sportu wśród społeczności lokalnej Gminy Pińczów oraz promocja regionu na arenie krajowej i międzynarodowej</t>
  </si>
  <si>
    <t>Nagrody o charakterze szczególnym niezaliczone do wynagrodzeń § 3040</t>
  </si>
  <si>
    <t>Wynagro
dzenia i pochodne od wynagro
dzeń</t>
  </si>
  <si>
    <t>Pozostałe</t>
  </si>
  <si>
    <t>Plan przychodów i wydatków zakładów budżetowych na 2009 r.</t>
  </si>
  <si>
    <t xml:space="preserve">w tym: </t>
  </si>
  <si>
    <t>przedmiotowa</t>
  </si>
  <si>
    <t>celowa na inwestycje</t>
  </si>
  <si>
    <t>wpłata do budżetu</t>
  </si>
  <si>
    <t xml:space="preserve">A.      
B. 30 000 - dotacja z WZOSP w Kielcach; 3 000 zł wpłata OSP w Koperni
C.
D. </t>
  </si>
  <si>
    <t xml:space="preserve">A.      
B. 58 000 
C. 629 
D. </t>
  </si>
  <si>
    <t>wydatki majątkowe</t>
  </si>
  <si>
    <t>kwota netto</t>
  </si>
  <si>
    <t>VAT</t>
  </si>
  <si>
    <t>Przedszkola</t>
  </si>
  <si>
    <t>Kompleksowe zwodociągowanie Gminy Pińczów 2008-2009</t>
  </si>
  <si>
    <t>Przebudowa ulicy Polnej 2007-2009</t>
  </si>
  <si>
    <t>Razem dział 921</t>
  </si>
  <si>
    <t>Modernizacja Miejskiego Ośrodka Sportu i Rekreacji w Pińczowie 2008-2010</t>
  </si>
  <si>
    <t>wydatki poniesione do 31.12.2008 r.</t>
  </si>
  <si>
    <t>rok budżetowy 2009 (8+9+10+11)</t>
  </si>
  <si>
    <t>wydatki do poniesienia po 2011 roku</t>
  </si>
  <si>
    <t>Przebudowa drogi Borków-Chwałowice</t>
  </si>
  <si>
    <t>Przebudowa ul. Szarych Szeregów w Pińczowie</t>
  </si>
  <si>
    <t>Przebudowa drogi w Pasturce</t>
  </si>
  <si>
    <t>Remont pomieszczeń pod potrzeby biblioteki i świetlicy w budynku nr 5 w Gackach</t>
  </si>
  <si>
    <t>Przebudowa oświetlenia ulicznego wzdłuż ul. 3 Maja w Pińczowie</t>
  </si>
  <si>
    <t xml:space="preserve">A.      
B.
C. 
D. </t>
  </si>
  <si>
    <t>Przebudowa ul. 3 Maja w Pińczowie</t>
  </si>
  <si>
    <t>rok budżetowy 2009 (7+8+9+10)</t>
  </si>
  <si>
    <t>Zakup samochodu dla Ochotniczej Straży Pożarnej Kopernia gm. Pińczów</t>
  </si>
  <si>
    <t>Razem dział 754</t>
  </si>
  <si>
    <t>Moje boisk - Orlik 2012</t>
  </si>
  <si>
    <t>A. 0   
B. 0
C. 0
D. 0</t>
  </si>
  <si>
    <t>A. 0
B. 0
C. 0
D. 0</t>
  </si>
  <si>
    <t>A. 802 091  
B. 0
C. 0
D. 0</t>
  </si>
  <si>
    <t>Przebudowa chodnika na ul. Szkolnej</t>
  </si>
  <si>
    <t>Środki na dofinansowanie Jednostki Realizującej Projekt</t>
  </si>
  <si>
    <t>Wodociągi Pińczowskie sp zoo</t>
  </si>
  <si>
    <t xml:space="preserve">A.      
B. 25 000 - Dotacja FOGR
C.
D. </t>
  </si>
  <si>
    <t>Przyłącze kanalizacyjne do Aeroklubu</t>
  </si>
  <si>
    <t>Gimnazjum Nr 1 (zakup części do wymiennikowni)</t>
  </si>
  <si>
    <t>Komputer z oprogramowaniem i drukarką</t>
  </si>
  <si>
    <t>Razem dział 851</t>
  </si>
  <si>
    <t>Zakup i montaż sieci komputerowej wraz z instalacją 230 V</t>
  </si>
  <si>
    <t xml:space="preserve">Załącznik nr 6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 </t>
  </si>
  <si>
    <t>Załącznik nr 7 do Uchwały Nr ………..                                                                                                  Rady Miejskiej w Pińczowie z dnia …………..                                                                                                         w sprawie uchwalenia budżetu Gminy na rok 2009</t>
  </si>
  <si>
    <t xml:space="preserve">Załącznik nr 8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      </t>
  </si>
  <si>
    <t xml:space="preserve">Załącznik nr 9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</t>
  </si>
  <si>
    <t>Opracowanie dokumentacji projektowej i specyfikacji technicznych wykonania i odbioru robót budowlanych sieci kanalizacyjnej w aglomeracjach Pińczów i Gacki</t>
  </si>
  <si>
    <t>Plan
na 2009 r.</t>
  </si>
  <si>
    <t>Plan na 2009 r.</t>
  </si>
  <si>
    <t>Zakup pomocy naukowych, dydaktycznych i książek § 4240</t>
  </si>
  <si>
    <t>Szkolenia pracowników niebędących członkami korpusu służby cywilnej                     § 4700</t>
  </si>
  <si>
    <t>Dochody i wydatki związane z realizacją zadań z zakresu administracji rządowej i innych zadań zleconych odrębnymi ustawami w 2009 r.</t>
  </si>
  <si>
    <t>Przebudowa drogi Zagość-Parcele</t>
  </si>
  <si>
    <t>Przebudowa drogi Młodzawy-Piaski</t>
  </si>
  <si>
    <t>Przebudowa drogi Marzęcin-Kostki</t>
  </si>
  <si>
    <t>Ewidencja dróg gminnych 2006-2009</t>
  </si>
  <si>
    <t>Przebudowa drogi "Grochowiska" 2009-2010</t>
  </si>
  <si>
    <t>Przebudowa drogi wraz z budową chodnika i parkingu na osiedlu Gacki 2007-2009</t>
  </si>
  <si>
    <t>Plan limitów wydatków na wieloletnie programy inwestycyjne w latach 2009 - 2011</t>
  </si>
  <si>
    <t>Zadania inwestycyjne roczne w 2009 r.</t>
  </si>
  <si>
    <t>Dotacje przedmiotowe w 2009 r.</t>
  </si>
  <si>
    <t>Rewitalizacja Śródmieścia Pińczowa</t>
  </si>
  <si>
    <t>Budowa hali widowiskowo-sportowej wraz z otwartą infrastrukturą sportowo-rekreacyjną w Pińczowie</t>
  </si>
  <si>
    <t>Dotacje celowe</t>
  </si>
  <si>
    <t>Zakup centrali telefonicznej w Urzędzie Miejskim</t>
  </si>
  <si>
    <t>Przebudowa ulicy Republiki Pińczowskiej w Pińczowie 2006-2010</t>
  </si>
  <si>
    <t>Budowa ulicy Grodziskowej wraz z łącznikiem do ul. Grunwaldzkiej w Pińczowie - projekt i wykonanie 2006-2009</t>
  </si>
  <si>
    <t>75421</t>
  </si>
  <si>
    <t>wskazana przez Świętokrzyski Urząd Wojewódzki</t>
  </si>
  <si>
    <t>Dotacja na usuwanie skutków powodzi poprzez zapewnienie wypoczynku dzieciom rodzin poszkodowanych</t>
  </si>
  <si>
    <t xml:space="preserve">Załącznik nr 5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</t>
  </si>
  <si>
    <t>Mieszkania socjalne 2007-2010</t>
  </si>
  <si>
    <t>Termomodernizacja Gimnazjum nr 1 i SP nr 2 w Pińczowie 2008-2010</t>
  </si>
  <si>
    <t xml:space="preserve">Zapobieganie chorobom i urazom lub inne programy zdrowotne oraz promocja zdrowia (badania diagnostyczne) </t>
  </si>
  <si>
    <t xml:space="preserve">Przebudowa i modernizacja Pińczowskiego Samorządowego Centrum Kultury w Pińczowie 2007-2011 </t>
  </si>
  <si>
    <t>e-świętorzyskie Rozbudowa Infrastruktury Informatycznej JST</t>
  </si>
  <si>
    <t>x</t>
  </si>
  <si>
    <t>Przyłącze światłowodowe: główny budynek urzędu - USC</t>
  </si>
  <si>
    <t>Dostawa i montaż wyposażenia biblioteki i świetlicy w bydynku nr 5 w Gackach</t>
  </si>
  <si>
    <t>Zakup Infokiosku wraz z oprogramowaniem</t>
  </si>
  <si>
    <t>Razem dział 853</t>
  </si>
  <si>
    <t>Miejsko-Gminny Ośrodek Pomocy Społecznej w Pińczowie</t>
  </si>
  <si>
    <t>Przebudowa chodnika na ul. Żwirki i Wigury w Pińczowie</t>
  </si>
  <si>
    <t>Kolektory słoneczne dla placówek samorządowych                           2009-2010</t>
  </si>
  <si>
    <t>Budowa przydomowych oczyszczalni ścieków w Gminie Pińczów 2008-2011</t>
  </si>
  <si>
    <t>Na zakup i montaż krzesełek stadionowych</t>
  </si>
  <si>
    <t>Remont chodnika w ciągu drogi wojewódzkiej Nr 767 Pińczów - Busko Zdrój na odcinku od Supermarketu Tesco do ulicy 7 Źródeł w miejscowości Pińczów</t>
  </si>
  <si>
    <t>Dotacja celowa na pomoc finansową udzielaną między jednostkami samorządu terytorialnego na dofinansowanie własnych zadań inwestycyjnych i zakupów inwestycyjnych  § 6300</t>
  </si>
  <si>
    <t>Wpływy z różnych dochodów § 0970</t>
  </si>
  <si>
    <t>Budowa ścieżki rowerowej przebiegającej przez tereny gmin: Busko-Zdrój, Wiślica i Pińczów - po śladach torów kolejowych - wspólna realizacja"</t>
  </si>
  <si>
    <t>Rozbudowa drogi wojewódzkiej Nr 766 relacji Morawica-Węchadłów na odcinku Brzeście - ulica Republiki Pińczowskiej w miejscowości Pińczów" 2007-2009</t>
  </si>
  <si>
    <t>Budowa sali sportowej ogólnodostepnej przy ul. Szkolnej w Pińczowie 2008-2010</t>
  </si>
  <si>
    <t>Przebudowa drogi w Młodzawach Małych</t>
  </si>
  <si>
    <r>
      <t xml:space="preserve">Różne opłaty i składki </t>
    </r>
    <r>
      <rPr>
        <sz val="10"/>
        <rFont val="Arial"/>
        <family val="0"/>
      </rPr>
      <t>§</t>
    </r>
    <r>
      <rPr>
        <sz val="10"/>
        <rFont val="Arial CE"/>
        <family val="2"/>
      </rPr>
      <t xml:space="preserve"> 4430</t>
    </r>
  </si>
  <si>
    <t>Przebudowa ulic: 7 Źródeł i Grodziskowej w Pińczowie 2008-2010</t>
  </si>
  <si>
    <t>A. 802 091 - MSWiA "Schetynówka"
B. 0
C. 0
D. 0</t>
  </si>
  <si>
    <t>60014</t>
  </si>
  <si>
    <t>Województwo Świętokrzyskie</t>
  </si>
  <si>
    <t>Remont dróg powiatowych 0064T Skrzypiów – Kozubów – Zawarża – Ciuślice,  nr 0068T Kozubów – Dzierążnia – Drożejowice, nr 0066T Kozubów – Sadek – Polichno tworzących ciąg dróg powiatowych Skrzypiów – Młodzawy – Kozubów</t>
  </si>
  <si>
    <t>Powiat Pińczowski</t>
  </si>
  <si>
    <t>A. 802 091
B. 0
C. 0
D. 0</t>
  </si>
  <si>
    <t xml:space="preserve">A.      
B.
C. 629 - dotacja rozwojowa
D. </t>
  </si>
  <si>
    <t>Budowa wodociągu w Zawarży - Gmina Pińczów</t>
  </si>
  <si>
    <t>Zagospodarowanie placu i wykonanie ogrodzenia w Skowronnie Dolnym</t>
  </si>
  <si>
    <t>Na wykonanie chodnika z kostki brukowej przy Przedszkolu Nr 3 w Pińczowie</t>
  </si>
  <si>
    <t>Przedszkole Nr 3 w Pińczowie</t>
  </si>
  <si>
    <t>Organizacja wolnego czasu i aktywizacja społeczna dzieci i młodzieży z Gminy Pińczów poprzez zajęcia modelarskie /propagujące zdrowy styl życia bez alkoholu, narkotyków i innych używek/:                                                     - prowadzenie zajęć modelarskich oraz nauka pilotażu i sterowania modelami na koputerowym symulatorze lotów                                                                                                                                  - udział w zawodach                                                                                                               - organizacja zawodów</t>
  </si>
  <si>
    <t>Organizacja wolnego czasu i aktywizacja społeczna dzieci i młodzieży z Gminy Pińczów poprzez zajęcia sportowe /propagujące zdrowy styl życia bez alkoholu, narkotyków i innych używek/:                                    - prowadzenie sekcji: piłki nożnej                                   - udział w turniejach, meczach i innych imprezach sportowych na terenie gminy, regionu i kraju                               -organizacja lokalnych imprez sportowych - np.: mecze</t>
  </si>
  <si>
    <t>Organizacja wolnego czasu i aktywizacja społeczna dzieci i młodzieży z Gminy Pińczów poprzez zajęcia sportowe /propagujące zdrowy styl życia bez alkoholu, narkotyków i innych używek/:                                    - prowadzenie zajęc nauki jazdy konnej</t>
  </si>
  <si>
    <t>Budowa chodnika w Bogucicach - projekt i wykonawstwo 2009-2010</t>
  </si>
  <si>
    <t>Dział</t>
  </si>
  <si>
    <t>Rozdział</t>
  </si>
  <si>
    <t>w tym:</t>
  </si>
  <si>
    <t>1.</t>
  </si>
  <si>
    <t>2.</t>
  </si>
  <si>
    <t>Nazwa</t>
  </si>
  <si>
    <t>w tym źródła finansowania</t>
  </si>
  <si>
    <t>Wydatki bieżące</t>
  </si>
  <si>
    <t>Wydatki majątkowe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</si>
  <si>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</si>
  <si>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</si>
  <si>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</si>
  <si>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</si>
  <si>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</si>
  <si>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</si>
  <si>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</si>
  <si>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</si>
  <si>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</si>
  <si>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Wydatki na na obsługę długu (odsetki)</t>
  </si>
  <si>
    <t>Wydatki
z tytułu poręczeń
i gwarancji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</si>
  <si>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</si>
  <si>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</si>
  <si>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</si>
  <si>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</si>
  <si>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</si>
  <si>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</si>
  <si>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</si>
  <si>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</si>
  <si>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2010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</si>
  <si>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</si>
  <si>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</si>
  <si>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</si>
  <si>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</si>
  <si>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</si>
  <si>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</si>
  <si>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</si>
  <si>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</si>
  <si>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</si>
  <si>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</si>
  <si>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</si>
  <si>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Nazwa zadania</t>
  </si>
  <si>
    <t>ogółem</t>
  </si>
  <si>
    <t>w tym: dotacja
z budżetu</t>
  </si>
  <si>
    <t>Nazwa jednostki
 otrzymującej dotację</t>
  </si>
  <si>
    <t>Zakres</t>
  </si>
  <si>
    <t>Ogółem kwota dotacji</t>
  </si>
  <si>
    <t>Kwota dotacji</t>
  </si>
  <si>
    <t>Jednostka otrzymująca dotację</t>
  </si>
  <si>
    <t>010</t>
  </si>
  <si>
    <t>01010</t>
  </si>
  <si>
    <t>600</t>
  </si>
  <si>
    <t>700</t>
  </si>
  <si>
    <t>754</t>
  </si>
  <si>
    <t>801</t>
  </si>
  <si>
    <t>01095</t>
  </si>
  <si>
    <t>60013</t>
  </si>
  <si>
    <t>70095</t>
  </si>
  <si>
    <t>80104</t>
  </si>
  <si>
    <t>900</t>
  </si>
  <si>
    <t>MOSiR</t>
  </si>
  <si>
    <t>A. 0    
B. 0
C. 0
D. 0</t>
  </si>
  <si>
    <t>Urząd Miejski w Pińczowie</t>
  </si>
  <si>
    <t>Razem dział 010</t>
  </si>
  <si>
    <t>X</t>
  </si>
  <si>
    <t>Partycypacja w kosztach przebudowy ulicy Bat. Chłopskich w Pińczowie 2006-2009</t>
  </si>
  <si>
    <t>Budowa ulicy Przemysłowej - projekt i wykonastwo 2006-2009</t>
  </si>
  <si>
    <t>Budowa ulicy (łącznika) od ul. Wiosennej do ul. Reduty Mławskiej w Pińczowie 2008-2009</t>
  </si>
  <si>
    <t>Razem dział 600</t>
  </si>
  <si>
    <t>Razem dział 700</t>
  </si>
  <si>
    <t>Razem dział 801</t>
  </si>
  <si>
    <t>Razem dział 900</t>
  </si>
  <si>
    <t>Rezem dział 926</t>
  </si>
  <si>
    <t>Przebudowa targowicy miejskiej przy ul. Republiki Pińczowskiej w Pińczowie 2007-2010</t>
  </si>
  <si>
    <t>Komputeryzacja Urzędu -projekt unijny</t>
  </si>
  <si>
    <t>Razem dział 750</t>
  </si>
  <si>
    <t>Zespół Ekonomiczno Administracyjny Szkół i Przedszkoli w Pińczowie</t>
  </si>
  <si>
    <t>Utrzymanie przedszkoli</t>
  </si>
  <si>
    <t>Miejski Ośrodek Sportu i Rekreacji w Pińczowie</t>
  </si>
  <si>
    <t>Utrzymanie terenów sportowych i pływalni miejskiej</t>
  </si>
  <si>
    <t>Samodzielny Zakład Opieki Zdrowotnej w Pińczowie</t>
  </si>
  <si>
    <t>wyłoniona w drodze konkursu</t>
  </si>
  <si>
    <t>Grzywny, mandaty i inne kary pieniężne od osób fizycznych § 0570</t>
  </si>
  <si>
    <t>Załącznik nr 3 do  Uchwały Nr XL/364/09 Rady Miejskiej w Pińczowie                                             z dnia 25 listopada 2009 r.                                                        w sprawie zmian w budżecie Gminy na rok 2009</t>
  </si>
  <si>
    <t>Przewodniczący</t>
  </si>
  <si>
    <t>Rady Miejskiej</t>
  </si>
  <si>
    <t>Marek OMASTA</t>
  </si>
  <si>
    <t xml:space="preserve">Załącznik nr 4 do  Uchwały Nr XL/364/09                                                                          Rady Miejskiej w Pińczowie                                                                                                           z dnia 25 listopada 2009 r.                                                                                                                                       w sprawie zmian w budżecie Gminy na rok 2009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</si>
</sst>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3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b/>
      <sz val="13"/>
      <name val="Arial CE"/>
      <family val="2"/>
    </font>
    <font>
      <b/>
      <sz val="1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sz val="10"/>
      <name val="Arial"/>
      <family val="0"/>
    </font>
    <font>
      <sz val="10"/>
      <color indexed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6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vertical="center"/>
    </xf>
    <xf numFmtId="0" fontId="32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3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3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/>
    </xf>
    <xf numFmtId="0" fontId="4" fillId="20" borderId="12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left" vertical="center" indent="2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3" fontId="37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3" fontId="37" fillId="0" borderId="0" xfId="0" applyNumberFormat="1" applyFont="1" applyAlignment="1">
      <alignment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35" fillId="20" borderId="19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4" fillId="20" borderId="19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PageLayoutView="0" workbookViewId="0" topLeftCell="G47">
      <selection activeCell="N53" sqref="N53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95" t="s">
        <v>207</v>
      </c>
      <c r="N1" s="95"/>
      <c r="O1" s="95"/>
    </row>
    <row r="2" spans="13:15" ht="12.75">
      <c r="M2" s="95"/>
      <c r="N2" s="95"/>
      <c r="O2" s="95"/>
    </row>
    <row r="3" spans="13:15" ht="12.75">
      <c r="M3" s="95"/>
      <c r="N3" s="95"/>
      <c r="O3" s="95"/>
    </row>
    <row r="4" spans="13:15" ht="25.5" customHeight="1">
      <c r="M4" s="95"/>
      <c r="N4" s="95"/>
      <c r="O4" s="95"/>
    </row>
    <row r="5" spans="1:15" ht="18">
      <c r="A5" s="96" t="s">
        <v>73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5" ht="10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 t="s">
        <v>135</v>
      </c>
    </row>
    <row r="7" spans="1:15" s="8" customFormat="1" ht="19.5" customHeight="1">
      <c r="A7" s="97" t="s">
        <v>136</v>
      </c>
      <c r="B7" s="97" t="s">
        <v>125</v>
      </c>
      <c r="C7" s="97" t="s">
        <v>134</v>
      </c>
      <c r="D7" s="94" t="s">
        <v>147</v>
      </c>
      <c r="E7" s="94" t="s">
        <v>137</v>
      </c>
      <c r="F7" s="94" t="s">
        <v>31</v>
      </c>
      <c r="G7" s="94" t="s">
        <v>140</v>
      </c>
      <c r="H7" s="94"/>
      <c r="I7" s="94"/>
      <c r="J7" s="94"/>
      <c r="K7" s="94"/>
      <c r="L7" s="94"/>
      <c r="M7" s="94"/>
      <c r="N7" s="94"/>
      <c r="O7" s="94" t="s">
        <v>138</v>
      </c>
    </row>
    <row r="8" spans="1:15" s="8" customFormat="1" ht="19.5" customHeight="1">
      <c r="A8" s="97"/>
      <c r="B8" s="97"/>
      <c r="C8" s="97"/>
      <c r="D8" s="94"/>
      <c r="E8" s="94"/>
      <c r="F8" s="94"/>
      <c r="G8" s="94" t="s">
        <v>32</v>
      </c>
      <c r="H8" s="94" t="s">
        <v>131</v>
      </c>
      <c r="I8" s="94"/>
      <c r="J8" s="94"/>
      <c r="K8" s="94"/>
      <c r="L8" s="94" t="s">
        <v>153</v>
      </c>
      <c r="M8" s="94" t="s">
        <v>10</v>
      </c>
      <c r="N8" s="94" t="s">
        <v>33</v>
      </c>
      <c r="O8" s="94"/>
    </row>
    <row r="9" spans="1:15" s="8" customFormat="1" ht="29.25" customHeight="1">
      <c r="A9" s="97"/>
      <c r="B9" s="97"/>
      <c r="C9" s="97"/>
      <c r="D9" s="94"/>
      <c r="E9" s="94"/>
      <c r="F9" s="94"/>
      <c r="G9" s="94"/>
      <c r="H9" s="94" t="s">
        <v>149</v>
      </c>
      <c r="I9" s="94" t="s">
        <v>145</v>
      </c>
      <c r="J9" s="94" t="s">
        <v>150</v>
      </c>
      <c r="K9" s="94" t="s">
        <v>146</v>
      </c>
      <c r="L9" s="94"/>
      <c r="M9" s="94"/>
      <c r="N9" s="94"/>
      <c r="O9" s="94"/>
    </row>
    <row r="10" spans="1:15" s="8" customFormat="1" ht="19.5" customHeight="1">
      <c r="A10" s="97"/>
      <c r="B10" s="97"/>
      <c r="C10" s="97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 s="8" customFormat="1" ht="19.5" customHeight="1">
      <c r="A11" s="97"/>
      <c r="B11" s="97"/>
      <c r="C11" s="97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15" ht="7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</row>
    <row r="13" spans="1:15" ht="63.75">
      <c r="A13" s="28">
        <v>1</v>
      </c>
      <c r="B13" s="29" t="s">
        <v>173</v>
      </c>
      <c r="C13" s="29" t="s">
        <v>174</v>
      </c>
      <c r="D13" s="34" t="s">
        <v>99</v>
      </c>
      <c r="E13" s="31">
        <f>G13+L13+M13+N13+F13</f>
        <v>4959700</v>
      </c>
      <c r="F13" s="31">
        <v>456000</v>
      </c>
      <c r="G13" s="31">
        <f>H13+I13+K13</f>
        <v>453700</v>
      </c>
      <c r="H13" s="31">
        <f>100000+3700</f>
        <v>103700</v>
      </c>
      <c r="I13" s="31">
        <v>350000</v>
      </c>
      <c r="J13" s="32" t="s">
        <v>185</v>
      </c>
      <c r="K13" s="31">
        <v>0</v>
      </c>
      <c r="L13" s="31">
        <v>1000000</v>
      </c>
      <c r="M13" s="31">
        <v>3050000</v>
      </c>
      <c r="N13" s="31">
        <v>0</v>
      </c>
      <c r="O13" s="33" t="s">
        <v>186</v>
      </c>
    </row>
    <row r="14" spans="1:15" ht="54" customHeight="1">
      <c r="A14" s="28">
        <v>2</v>
      </c>
      <c r="B14" s="29" t="s">
        <v>173</v>
      </c>
      <c r="C14" s="29" t="s">
        <v>174</v>
      </c>
      <c r="D14" s="34" t="s">
        <v>27</v>
      </c>
      <c r="E14" s="31">
        <f aca="true" t="shared" si="0" ref="E14:E46">G14+L14+M14+N14+F14</f>
        <v>5457266</v>
      </c>
      <c r="F14" s="31">
        <v>1000000</v>
      </c>
      <c r="G14" s="31">
        <f>H14+I14+K14</f>
        <v>4457266</v>
      </c>
      <c r="H14" s="31">
        <f>1449228+100000-800000</f>
        <v>749228</v>
      </c>
      <c r="I14" s="31">
        <f>450772+800000+50000</f>
        <v>1300772</v>
      </c>
      <c r="J14" s="32" t="s">
        <v>185</v>
      </c>
      <c r="K14" s="31">
        <f>2500000-92734</f>
        <v>2407266</v>
      </c>
      <c r="L14" s="31">
        <v>0</v>
      </c>
      <c r="M14" s="31">
        <v>0</v>
      </c>
      <c r="N14" s="31">
        <v>0</v>
      </c>
      <c r="O14" s="33" t="s">
        <v>186</v>
      </c>
    </row>
    <row r="15" spans="1:15" ht="54" customHeight="1">
      <c r="A15" s="28">
        <v>3</v>
      </c>
      <c r="B15" s="29" t="s">
        <v>173</v>
      </c>
      <c r="C15" s="29" t="s">
        <v>174</v>
      </c>
      <c r="D15" s="34" t="s">
        <v>117</v>
      </c>
      <c r="E15" s="31">
        <f t="shared" si="0"/>
        <v>525000</v>
      </c>
      <c r="F15" s="31">
        <v>0</v>
      </c>
      <c r="G15" s="31">
        <v>25000</v>
      </c>
      <c r="H15" s="31">
        <v>25000</v>
      </c>
      <c r="I15" s="31">
        <v>0</v>
      </c>
      <c r="J15" s="32" t="s">
        <v>185</v>
      </c>
      <c r="K15" s="31">
        <v>0</v>
      </c>
      <c r="L15" s="31">
        <v>500000</v>
      </c>
      <c r="M15" s="31">
        <v>0</v>
      </c>
      <c r="N15" s="31">
        <v>0</v>
      </c>
      <c r="O15" s="33" t="s">
        <v>186</v>
      </c>
    </row>
    <row r="16" spans="1:15" ht="12.75">
      <c r="A16" s="93" t="s">
        <v>187</v>
      </c>
      <c r="B16" s="93"/>
      <c r="C16" s="93"/>
      <c r="D16" s="93"/>
      <c r="E16" s="35">
        <f>E14+E13+E15</f>
        <v>10941966</v>
      </c>
      <c r="F16" s="35">
        <f>F14+F13+F15</f>
        <v>1456000</v>
      </c>
      <c r="G16" s="35">
        <f>G14+G13+G15</f>
        <v>4935966</v>
      </c>
      <c r="H16" s="35">
        <f>H14+H13+H15</f>
        <v>877928</v>
      </c>
      <c r="I16" s="35">
        <f>I14+I13+I15</f>
        <v>1650772</v>
      </c>
      <c r="J16" s="35" t="s">
        <v>188</v>
      </c>
      <c r="K16" s="35">
        <f>K14+K13</f>
        <v>2407266</v>
      </c>
      <c r="L16" s="35">
        <f>L14+L13+L15</f>
        <v>1500000</v>
      </c>
      <c r="M16" s="35">
        <f>M14+M13+M15</f>
        <v>3050000</v>
      </c>
      <c r="N16" s="35">
        <f>N14+N13</f>
        <v>0</v>
      </c>
      <c r="O16" s="35" t="s">
        <v>188</v>
      </c>
    </row>
    <row r="17" spans="1:15" ht="63.75">
      <c r="A17" s="28">
        <v>4</v>
      </c>
      <c r="B17" s="29" t="s">
        <v>175</v>
      </c>
      <c r="C17" s="28">
        <v>60013</v>
      </c>
      <c r="D17" s="32" t="s">
        <v>189</v>
      </c>
      <c r="E17" s="31">
        <f t="shared" si="0"/>
        <v>26000</v>
      </c>
      <c r="F17" s="31">
        <v>0</v>
      </c>
      <c r="G17" s="31">
        <f>H17+I17+K17</f>
        <v>26000</v>
      </c>
      <c r="H17" s="31">
        <f>30000-4000</f>
        <v>26000</v>
      </c>
      <c r="I17" s="31">
        <v>0</v>
      </c>
      <c r="J17" s="32" t="s">
        <v>185</v>
      </c>
      <c r="K17" s="31">
        <v>0</v>
      </c>
      <c r="L17" s="31">
        <v>0</v>
      </c>
      <c r="M17" s="31">
        <v>0</v>
      </c>
      <c r="N17" s="31">
        <v>0</v>
      </c>
      <c r="O17" s="33" t="s">
        <v>186</v>
      </c>
    </row>
    <row r="18" spans="1:15" ht="114.75">
      <c r="A18" s="28">
        <v>5</v>
      </c>
      <c r="B18" s="29" t="s">
        <v>175</v>
      </c>
      <c r="C18" s="28">
        <v>60013</v>
      </c>
      <c r="D18" s="32" t="s">
        <v>105</v>
      </c>
      <c r="E18" s="31">
        <f t="shared" si="0"/>
        <v>296000</v>
      </c>
      <c r="F18" s="31">
        <v>100000</v>
      </c>
      <c r="G18" s="31">
        <f aca="true" t="shared" si="1" ref="G18:G29">H18+I18+K18</f>
        <v>196000</v>
      </c>
      <c r="H18" s="31">
        <f>20000+26000</f>
        <v>46000</v>
      </c>
      <c r="I18" s="31">
        <v>150000</v>
      </c>
      <c r="J18" s="32" t="s">
        <v>185</v>
      </c>
      <c r="K18" s="31">
        <v>0</v>
      </c>
      <c r="L18" s="31">
        <v>0</v>
      </c>
      <c r="M18" s="31">
        <v>0</v>
      </c>
      <c r="N18" s="31">
        <v>0</v>
      </c>
      <c r="O18" s="33" t="s">
        <v>186</v>
      </c>
    </row>
    <row r="19" spans="1:15" ht="51">
      <c r="A19" s="28">
        <v>6</v>
      </c>
      <c r="B19" s="29" t="s">
        <v>175</v>
      </c>
      <c r="C19" s="28">
        <v>60013</v>
      </c>
      <c r="D19" s="32" t="s">
        <v>124</v>
      </c>
      <c r="E19" s="31">
        <f>G19+L19+M19+N19+F19</f>
        <v>306000</v>
      </c>
      <c r="F19" s="31">
        <v>0</v>
      </c>
      <c r="G19" s="31">
        <f>H19+I19+K19</f>
        <v>6000</v>
      </c>
      <c r="H19" s="31">
        <v>6000</v>
      </c>
      <c r="I19" s="31">
        <v>0</v>
      </c>
      <c r="J19" s="32" t="s">
        <v>185</v>
      </c>
      <c r="K19" s="31">
        <v>0</v>
      </c>
      <c r="L19" s="31">
        <v>300000</v>
      </c>
      <c r="M19" s="31">
        <v>0</v>
      </c>
      <c r="N19" s="31">
        <v>0</v>
      </c>
      <c r="O19" s="33" t="s">
        <v>186</v>
      </c>
    </row>
    <row r="20" spans="1:15" ht="51">
      <c r="A20" s="28">
        <v>7</v>
      </c>
      <c r="B20" s="29" t="s">
        <v>175</v>
      </c>
      <c r="C20" s="28">
        <v>60016</v>
      </c>
      <c r="D20" s="32" t="s">
        <v>70</v>
      </c>
      <c r="E20" s="31">
        <f t="shared" si="0"/>
        <v>194256</v>
      </c>
      <c r="F20" s="31">
        <f>94256+50000</f>
        <v>144256</v>
      </c>
      <c r="G20" s="31">
        <f t="shared" si="1"/>
        <v>50000</v>
      </c>
      <c r="H20" s="31">
        <f>50000</f>
        <v>50000</v>
      </c>
      <c r="I20" s="31">
        <v>0</v>
      </c>
      <c r="J20" s="32" t="s">
        <v>185</v>
      </c>
      <c r="K20" s="31">
        <v>0</v>
      </c>
      <c r="L20" s="31">
        <v>0</v>
      </c>
      <c r="M20" s="31">
        <v>0</v>
      </c>
      <c r="N20" s="31">
        <v>0</v>
      </c>
      <c r="O20" s="33" t="s">
        <v>186</v>
      </c>
    </row>
    <row r="21" spans="1:15" ht="63.75">
      <c r="A21" s="28">
        <v>8</v>
      </c>
      <c r="B21" s="29" t="s">
        <v>175</v>
      </c>
      <c r="C21" s="28">
        <v>60016</v>
      </c>
      <c r="D21" s="32" t="s">
        <v>9</v>
      </c>
      <c r="E21" s="31">
        <f t="shared" si="0"/>
        <v>1623594</v>
      </c>
      <c r="F21" s="31">
        <f>34894+988700</f>
        <v>1023594</v>
      </c>
      <c r="G21" s="31">
        <f t="shared" si="1"/>
        <v>600000</v>
      </c>
      <c r="H21" s="31">
        <f>100000-50000</f>
        <v>50000</v>
      </c>
      <c r="I21" s="31">
        <f>500000+50000</f>
        <v>550000</v>
      </c>
      <c r="J21" s="32" t="s">
        <v>185</v>
      </c>
      <c r="K21" s="31">
        <v>0</v>
      </c>
      <c r="L21" s="31">
        <v>0</v>
      </c>
      <c r="M21" s="31">
        <v>0</v>
      </c>
      <c r="N21" s="31">
        <v>0</v>
      </c>
      <c r="O21" s="33" t="s">
        <v>186</v>
      </c>
    </row>
    <row r="22" spans="1:15" ht="51">
      <c r="A22" s="28">
        <v>9</v>
      </c>
      <c r="B22" s="29" t="s">
        <v>175</v>
      </c>
      <c r="C22" s="28">
        <v>60016</v>
      </c>
      <c r="D22" s="32" t="s">
        <v>80</v>
      </c>
      <c r="E22" s="31">
        <f t="shared" si="0"/>
        <v>5180000</v>
      </c>
      <c r="F22" s="31">
        <v>80000</v>
      </c>
      <c r="G22" s="31">
        <f t="shared" si="1"/>
        <v>1380000</v>
      </c>
      <c r="H22" s="31">
        <v>30000</v>
      </c>
      <c r="I22" s="31">
        <v>0</v>
      </c>
      <c r="J22" s="32" t="s">
        <v>185</v>
      </c>
      <c r="K22" s="31">
        <v>1350000</v>
      </c>
      <c r="L22" s="31">
        <f>3520000+200000</f>
        <v>3720000</v>
      </c>
      <c r="M22" s="31">
        <v>0</v>
      </c>
      <c r="N22" s="31">
        <v>0</v>
      </c>
      <c r="O22" s="33" t="s">
        <v>186</v>
      </c>
    </row>
    <row r="23" spans="1:15" ht="89.25">
      <c r="A23" s="28">
        <v>10</v>
      </c>
      <c r="B23" s="29" t="s">
        <v>175</v>
      </c>
      <c r="C23" s="28">
        <v>60016</v>
      </c>
      <c r="D23" s="32" t="s">
        <v>81</v>
      </c>
      <c r="E23" s="31">
        <f t="shared" si="0"/>
        <v>2010081</v>
      </c>
      <c r="F23" s="31">
        <v>206000</v>
      </c>
      <c r="G23" s="31">
        <f>H23+I23+K23+1000000+47000-244909</f>
        <v>1804081</v>
      </c>
      <c r="H23" s="31">
        <f>500000-250000-6010+95000-200000+20000-8000-4000</f>
        <v>146990</v>
      </c>
      <c r="I23" s="31">
        <f>500000+100000+55000+200000</f>
        <v>855000</v>
      </c>
      <c r="J23" s="32" t="s">
        <v>110</v>
      </c>
      <c r="K23" s="31">
        <v>0</v>
      </c>
      <c r="L23" s="31">
        <v>0</v>
      </c>
      <c r="M23" s="31">
        <v>0</v>
      </c>
      <c r="N23" s="31">
        <v>0</v>
      </c>
      <c r="O23" s="33" t="s">
        <v>186</v>
      </c>
    </row>
    <row r="24" spans="1:15" ht="63.75">
      <c r="A24" s="28">
        <v>11</v>
      </c>
      <c r="B24" s="37">
        <v>600</v>
      </c>
      <c r="C24" s="37">
        <v>60016</v>
      </c>
      <c r="D24" s="30" t="s">
        <v>190</v>
      </c>
      <c r="E24" s="31">
        <f t="shared" si="0"/>
        <v>490219</v>
      </c>
      <c r="F24" s="31">
        <f>100219+340000</f>
        <v>440219</v>
      </c>
      <c r="G24" s="31">
        <f t="shared" si="1"/>
        <v>50000</v>
      </c>
      <c r="H24" s="31">
        <v>50000</v>
      </c>
      <c r="I24" s="31">
        <v>0</v>
      </c>
      <c r="J24" s="32" t="s">
        <v>185</v>
      </c>
      <c r="K24" s="31">
        <v>0</v>
      </c>
      <c r="L24" s="31">
        <v>0</v>
      </c>
      <c r="M24" s="31">
        <v>0</v>
      </c>
      <c r="N24" s="31">
        <v>0</v>
      </c>
      <c r="O24" s="33" t="s">
        <v>186</v>
      </c>
    </row>
    <row r="25" spans="1:15" ht="63.75">
      <c r="A25" s="28">
        <v>12</v>
      </c>
      <c r="B25" s="37">
        <v>600</v>
      </c>
      <c r="C25" s="37">
        <v>60016</v>
      </c>
      <c r="D25" s="30" t="s">
        <v>191</v>
      </c>
      <c r="E25" s="31">
        <f t="shared" si="0"/>
        <v>128700</v>
      </c>
      <c r="F25" s="31">
        <v>10000</v>
      </c>
      <c r="G25" s="31">
        <f t="shared" si="1"/>
        <v>118700</v>
      </c>
      <c r="H25" s="31">
        <f>20000-1300</f>
        <v>18700</v>
      </c>
      <c r="I25" s="31">
        <v>100000</v>
      </c>
      <c r="J25" s="32" t="s">
        <v>185</v>
      </c>
      <c r="K25" s="31">
        <v>0</v>
      </c>
      <c r="L25" s="31">
        <v>0</v>
      </c>
      <c r="M25" s="31">
        <v>0</v>
      </c>
      <c r="N25" s="31">
        <v>0</v>
      </c>
      <c r="O25" s="33" t="s">
        <v>186</v>
      </c>
    </row>
    <row r="26" spans="1:15" ht="63.75">
      <c r="A26" s="28">
        <v>13</v>
      </c>
      <c r="B26" s="37">
        <v>600</v>
      </c>
      <c r="C26" s="37">
        <v>60016</v>
      </c>
      <c r="D26" s="30" t="s">
        <v>72</v>
      </c>
      <c r="E26" s="31">
        <f t="shared" si="0"/>
        <v>273000</v>
      </c>
      <c r="F26" s="31">
        <v>5000</v>
      </c>
      <c r="G26" s="31">
        <f t="shared" si="1"/>
        <v>205000</v>
      </c>
      <c r="H26" s="31">
        <f>20000+112000-100000-12000-15000</f>
        <v>5000</v>
      </c>
      <c r="I26" s="31">
        <f>100000+100000</f>
        <v>200000</v>
      </c>
      <c r="J26" s="32" t="s">
        <v>185</v>
      </c>
      <c r="K26" s="31">
        <v>0</v>
      </c>
      <c r="L26" s="31">
        <v>63000</v>
      </c>
      <c r="M26" s="31">
        <v>0</v>
      </c>
      <c r="N26" s="31">
        <v>0</v>
      </c>
      <c r="O26" s="33" t="s">
        <v>186</v>
      </c>
    </row>
    <row r="27" spans="1:15" ht="37.5" customHeight="1">
      <c r="A27" s="28">
        <v>14</v>
      </c>
      <c r="B27" s="37">
        <v>600</v>
      </c>
      <c r="C27" s="37">
        <v>60016</v>
      </c>
      <c r="D27" s="30" t="s">
        <v>28</v>
      </c>
      <c r="E27" s="31">
        <f t="shared" si="0"/>
        <v>855100</v>
      </c>
      <c r="F27" s="31">
        <v>380000</v>
      </c>
      <c r="G27" s="31">
        <f t="shared" si="1"/>
        <v>475100</v>
      </c>
      <c r="H27" s="31">
        <v>30000</v>
      </c>
      <c r="I27" s="31">
        <f>500000-54900</f>
        <v>445100</v>
      </c>
      <c r="J27" s="32" t="s">
        <v>185</v>
      </c>
      <c r="K27" s="31">
        <v>0</v>
      </c>
      <c r="L27" s="31">
        <v>0</v>
      </c>
      <c r="M27" s="31">
        <v>0</v>
      </c>
      <c r="N27" s="31">
        <v>0</v>
      </c>
      <c r="O27" s="33" t="s">
        <v>186</v>
      </c>
    </row>
    <row r="28" spans="1:15" ht="37.5" customHeight="1">
      <c r="A28" s="28">
        <v>15</v>
      </c>
      <c r="B28" s="37">
        <v>600</v>
      </c>
      <c r="C28" s="37">
        <v>60016</v>
      </c>
      <c r="D28" s="30" t="s">
        <v>71</v>
      </c>
      <c r="E28" s="31">
        <f t="shared" si="0"/>
        <v>1200000</v>
      </c>
      <c r="F28" s="31">
        <v>0</v>
      </c>
      <c r="G28" s="31">
        <f t="shared" si="1"/>
        <v>0</v>
      </c>
      <c r="H28" s="31">
        <f>20000-20000</f>
        <v>0</v>
      </c>
      <c r="I28" s="31">
        <v>0</v>
      </c>
      <c r="J28" s="32" t="s">
        <v>185</v>
      </c>
      <c r="K28" s="31">
        <v>0</v>
      </c>
      <c r="L28" s="31">
        <v>1200000</v>
      </c>
      <c r="M28" s="31">
        <v>0</v>
      </c>
      <c r="N28" s="31">
        <v>0</v>
      </c>
      <c r="O28" s="33" t="s">
        <v>186</v>
      </c>
    </row>
    <row r="29" spans="1:15" ht="51">
      <c r="A29" s="28">
        <v>16</v>
      </c>
      <c r="B29" s="37">
        <v>600</v>
      </c>
      <c r="C29" s="37">
        <v>60016</v>
      </c>
      <c r="D29" s="30" t="s">
        <v>109</v>
      </c>
      <c r="E29" s="31">
        <f t="shared" si="0"/>
        <v>4064000</v>
      </c>
      <c r="F29" s="31">
        <v>0</v>
      </c>
      <c r="G29" s="31">
        <f t="shared" si="1"/>
        <v>64000</v>
      </c>
      <c r="H29" s="31">
        <f>50000-36000</f>
        <v>14000</v>
      </c>
      <c r="I29" s="31">
        <f>250000-150000-50000</f>
        <v>50000</v>
      </c>
      <c r="J29" s="32" t="s">
        <v>185</v>
      </c>
      <c r="K29" s="31">
        <v>0</v>
      </c>
      <c r="L29" s="31">
        <f>680000+150000+3170000</f>
        <v>4000000</v>
      </c>
      <c r="M29" s="31">
        <v>0</v>
      </c>
      <c r="N29" s="31">
        <v>0</v>
      </c>
      <c r="O29" s="33" t="s">
        <v>186</v>
      </c>
    </row>
    <row r="30" spans="1:15" s="43" customFormat="1" ht="64.5" customHeight="1">
      <c r="A30" s="91" t="s">
        <v>192</v>
      </c>
      <c r="B30" s="91"/>
      <c r="C30" s="91"/>
      <c r="D30" s="91"/>
      <c r="E30" s="35">
        <f>SUM(E17:E29)</f>
        <v>16646950</v>
      </c>
      <c r="F30" s="35">
        <f>SUM(F17:F29)</f>
        <v>2389069</v>
      </c>
      <c r="G30" s="35">
        <f>SUM(G17:G29)</f>
        <v>4974881</v>
      </c>
      <c r="H30" s="35">
        <f>SUM(H17:H29)</f>
        <v>472690</v>
      </c>
      <c r="I30" s="35">
        <f>SUM(I17:I29)</f>
        <v>2350100</v>
      </c>
      <c r="J30" s="42" t="s">
        <v>115</v>
      </c>
      <c r="K30" s="35">
        <f>K23+K22</f>
        <v>1350000</v>
      </c>
      <c r="L30" s="35">
        <f>SUM(L17:L29)</f>
        <v>9283000</v>
      </c>
      <c r="M30" s="35">
        <v>0</v>
      </c>
      <c r="N30" s="35">
        <v>0</v>
      </c>
      <c r="O30" s="36" t="s">
        <v>188</v>
      </c>
    </row>
    <row r="31" spans="1:15" ht="51">
      <c r="A31" s="28">
        <v>17</v>
      </c>
      <c r="B31" s="28">
        <v>700</v>
      </c>
      <c r="C31" s="28">
        <v>70095</v>
      </c>
      <c r="D31" s="30" t="s">
        <v>86</v>
      </c>
      <c r="E31" s="31">
        <f t="shared" si="0"/>
        <v>581000</v>
      </c>
      <c r="F31" s="31">
        <v>21000</v>
      </c>
      <c r="G31" s="31">
        <f>70000-10000</f>
        <v>60000</v>
      </c>
      <c r="H31" s="31">
        <f>40000-10000</f>
        <v>30000</v>
      </c>
      <c r="I31" s="31">
        <v>30000</v>
      </c>
      <c r="J31" s="32" t="s">
        <v>185</v>
      </c>
      <c r="K31" s="31">
        <v>0</v>
      </c>
      <c r="L31" s="31">
        <v>500000</v>
      </c>
      <c r="M31" s="31">
        <v>0</v>
      </c>
      <c r="N31" s="31">
        <v>0</v>
      </c>
      <c r="O31" s="33" t="s">
        <v>186</v>
      </c>
    </row>
    <row r="32" spans="1:15" s="43" customFormat="1" ht="35.25" customHeight="1">
      <c r="A32" s="91" t="s">
        <v>193</v>
      </c>
      <c r="B32" s="91"/>
      <c r="C32" s="91"/>
      <c r="D32" s="91"/>
      <c r="E32" s="35">
        <f>E31</f>
        <v>581000</v>
      </c>
      <c r="F32" s="35">
        <f>F31</f>
        <v>21000</v>
      </c>
      <c r="G32" s="35">
        <f>G31</f>
        <v>60000</v>
      </c>
      <c r="H32" s="35">
        <f>H31</f>
        <v>30000</v>
      </c>
      <c r="I32" s="35">
        <f>I31</f>
        <v>30000</v>
      </c>
      <c r="J32" s="35" t="s">
        <v>188</v>
      </c>
      <c r="K32" s="35">
        <f>K31</f>
        <v>0</v>
      </c>
      <c r="L32" s="35">
        <f>L31</f>
        <v>500000</v>
      </c>
      <c r="M32" s="35">
        <f>M31</f>
        <v>0</v>
      </c>
      <c r="N32" s="35">
        <f>N31</f>
        <v>0</v>
      </c>
      <c r="O32" s="35" t="s">
        <v>188</v>
      </c>
    </row>
    <row r="33" spans="1:15" s="43" customFormat="1" ht="57" customHeight="1">
      <c r="A33" s="33">
        <v>18</v>
      </c>
      <c r="B33" s="33">
        <v>750</v>
      </c>
      <c r="C33" s="33">
        <v>75023</v>
      </c>
      <c r="D33" s="34" t="s">
        <v>90</v>
      </c>
      <c r="E33" s="31">
        <f>G33+L33+M33+N33+F33</f>
        <v>26955</v>
      </c>
      <c r="F33" s="31">
        <v>0</v>
      </c>
      <c r="G33" s="31">
        <f>H33+I33+K33</f>
        <v>26520</v>
      </c>
      <c r="H33" s="31">
        <f>59000-32480</f>
        <v>26520</v>
      </c>
      <c r="I33" s="31">
        <v>0</v>
      </c>
      <c r="J33" s="32" t="s">
        <v>185</v>
      </c>
      <c r="K33" s="31">
        <v>0</v>
      </c>
      <c r="L33" s="31">
        <v>435</v>
      </c>
      <c r="M33" s="31">
        <v>0</v>
      </c>
      <c r="N33" s="31">
        <v>0</v>
      </c>
      <c r="O33" s="33" t="s">
        <v>186</v>
      </c>
    </row>
    <row r="34" spans="1:15" s="43" customFormat="1" ht="35.25" customHeight="1">
      <c r="A34" s="91" t="s">
        <v>199</v>
      </c>
      <c r="B34" s="91"/>
      <c r="C34" s="91"/>
      <c r="D34" s="91"/>
      <c r="E34" s="35">
        <f>E33</f>
        <v>26955</v>
      </c>
      <c r="F34" s="35">
        <f>F33</f>
        <v>0</v>
      </c>
      <c r="G34" s="35">
        <f>G33</f>
        <v>26520</v>
      </c>
      <c r="H34" s="35">
        <f>H33</f>
        <v>26520</v>
      </c>
      <c r="I34" s="35">
        <f>I33</f>
        <v>0</v>
      </c>
      <c r="J34" s="35" t="s">
        <v>188</v>
      </c>
      <c r="K34" s="35">
        <f>K33</f>
        <v>0</v>
      </c>
      <c r="L34" s="35">
        <f>L33</f>
        <v>435</v>
      </c>
      <c r="M34" s="35">
        <f>M33</f>
        <v>0</v>
      </c>
      <c r="N34" s="35">
        <f>N33</f>
        <v>0</v>
      </c>
      <c r="O34" s="35" t="s">
        <v>91</v>
      </c>
    </row>
    <row r="35" spans="1:15" ht="63.75">
      <c r="A35" s="33">
        <v>19</v>
      </c>
      <c r="B35" s="33">
        <v>801</v>
      </c>
      <c r="C35" s="33">
        <v>80101</v>
      </c>
      <c r="D35" s="34" t="s">
        <v>106</v>
      </c>
      <c r="E35" s="31">
        <f>G35+L35+M35+N35+F35</f>
        <v>5128000</v>
      </c>
      <c r="F35" s="31">
        <v>20000</v>
      </c>
      <c r="G35" s="31">
        <f>H35+I35</f>
        <v>78000</v>
      </c>
      <c r="H35" s="31">
        <f>10000+8000</f>
        <v>18000</v>
      </c>
      <c r="I35" s="31">
        <f>90000-30000</f>
        <v>60000</v>
      </c>
      <c r="J35" s="32" t="s">
        <v>185</v>
      </c>
      <c r="K35" s="31">
        <v>0</v>
      </c>
      <c r="L35" s="31">
        <f>5000000+30000</f>
        <v>5030000</v>
      </c>
      <c r="M35" s="31">
        <v>0</v>
      </c>
      <c r="N35" s="31">
        <v>0</v>
      </c>
      <c r="O35" s="33" t="s">
        <v>186</v>
      </c>
    </row>
    <row r="36" spans="1:15" ht="51">
      <c r="A36" s="33">
        <v>20</v>
      </c>
      <c r="B36" s="33">
        <v>801</v>
      </c>
      <c r="C36" s="33">
        <v>80110</v>
      </c>
      <c r="D36" s="34" t="s">
        <v>44</v>
      </c>
      <c r="E36" s="31">
        <f t="shared" si="0"/>
        <v>1106001</v>
      </c>
      <c r="F36" s="31">
        <v>1000</v>
      </c>
      <c r="G36" s="31">
        <f>H36+I36+K36</f>
        <v>5001</v>
      </c>
      <c r="H36" s="31">
        <f>1001+4000</f>
        <v>5001</v>
      </c>
      <c r="I36" s="31">
        <v>0</v>
      </c>
      <c r="J36" s="32" t="s">
        <v>45</v>
      </c>
      <c r="K36" s="31">
        <v>0</v>
      </c>
      <c r="L36" s="31">
        <f>330000+330000+440000</f>
        <v>1100000</v>
      </c>
      <c r="M36" s="31">
        <v>0</v>
      </c>
      <c r="N36" s="31">
        <v>0</v>
      </c>
      <c r="O36" s="33" t="s">
        <v>186</v>
      </c>
    </row>
    <row r="37" spans="1:15" ht="51">
      <c r="A37" s="91" t="s">
        <v>194</v>
      </c>
      <c r="B37" s="91"/>
      <c r="C37" s="91"/>
      <c r="D37" s="91"/>
      <c r="E37" s="35">
        <f>E36+E35</f>
        <v>6234001</v>
      </c>
      <c r="F37" s="35">
        <f>F36+F35</f>
        <v>21000</v>
      </c>
      <c r="G37" s="35">
        <f>G36+G35</f>
        <v>83001</v>
      </c>
      <c r="H37" s="35">
        <f>H36+H35</f>
        <v>23001</v>
      </c>
      <c r="I37" s="35">
        <f>I36+I35</f>
        <v>60000</v>
      </c>
      <c r="J37" s="42" t="s">
        <v>46</v>
      </c>
      <c r="K37" s="35">
        <f>K36+K35</f>
        <v>0</v>
      </c>
      <c r="L37" s="35">
        <f>L36+L35</f>
        <v>6130000</v>
      </c>
      <c r="M37" s="35">
        <f>M36+M35</f>
        <v>0</v>
      </c>
      <c r="N37" s="35">
        <f>N36+N35</f>
        <v>0</v>
      </c>
      <c r="O37" s="35" t="s">
        <v>188</v>
      </c>
    </row>
    <row r="38" spans="1:15" s="44" customFormat="1" ht="51">
      <c r="A38" s="33">
        <v>21</v>
      </c>
      <c r="B38" s="33">
        <v>900</v>
      </c>
      <c r="C38" s="33">
        <v>90005</v>
      </c>
      <c r="D38" s="34" t="s">
        <v>98</v>
      </c>
      <c r="E38" s="31">
        <f t="shared" si="0"/>
        <v>300000</v>
      </c>
      <c r="F38" s="31">
        <v>0</v>
      </c>
      <c r="G38" s="31">
        <f>H38</f>
        <v>0</v>
      </c>
      <c r="H38" s="31">
        <f>10000-10000</f>
        <v>0</v>
      </c>
      <c r="I38" s="31">
        <v>0</v>
      </c>
      <c r="J38" s="32" t="s">
        <v>185</v>
      </c>
      <c r="K38" s="31">
        <v>0</v>
      </c>
      <c r="L38" s="31">
        <v>300000</v>
      </c>
      <c r="M38" s="31">
        <v>0</v>
      </c>
      <c r="N38" s="31">
        <v>0</v>
      </c>
      <c r="O38" s="33" t="s">
        <v>186</v>
      </c>
    </row>
    <row r="39" spans="1:15" ht="60.75" customHeight="1">
      <c r="A39" s="28">
        <v>22</v>
      </c>
      <c r="B39" s="29" t="s">
        <v>183</v>
      </c>
      <c r="C39" s="28">
        <v>90095</v>
      </c>
      <c r="D39" s="30" t="s">
        <v>87</v>
      </c>
      <c r="E39" s="31">
        <f t="shared" si="0"/>
        <v>1401000</v>
      </c>
      <c r="F39" s="31">
        <v>1000</v>
      </c>
      <c r="G39" s="31">
        <v>0</v>
      </c>
      <c r="H39" s="31">
        <f>G39</f>
        <v>0</v>
      </c>
      <c r="I39" s="31">
        <v>0</v>
      </c>
      <c r="J39" s="32" t="s">
        <v>185</v>
      </c>
      <c r="K39" s="31">
        <v>0</v>
      </c>
      <c r="L39" s="31">
        <v>1400000</v>
      </c>
      <c r="M39" s="31">
        <v>0</v>
      </c>
      <c r="N39" s="31">
        <v>0</v>
      </c>
      <c r="O39" s="33" t="s">
        <v>186</v>
      </c>
    </row>
    <row r="40" spans="1:15" ht="63.75">
      <c r="A40" s="28">
        <v>23</v>
      </c>
      <c r="B40" s="29" t="s">
        <v>183</v>
      </c>
      <c r="C40" s="28">
        <v>90095</v>
      </c>
      <c r="D40" s="30" t="s">
        <v>197</v>
      </c>
      <c r="E40" s="31">
        <f>G40+L40+M40+N40+F40</f>
        <v>3580000</v>
      </c>
      <c r="F40" s="31">
        <v>80000</v>
      </c>
      <c r="G40" s="31">
        <f>800000+200000</f>
        <v>1000000</v>
      </c>
      <c r="H40" s="31">
        <f>50000+200000</f>
        <v>250000</v>
      </c>
      <c r="I40" s="31">
        <v>750000</v>
      </c>
      <c r="J40" s="32" t="s">
        <v>185</v>
      </c>
      <c r="K40" s="31">
        <v>0</v>
      </c>
      <c r="L40" s="31">
        <v>2500000</v>
      </c>
      <c r="M40" s="31">
        <v>0</v>
      </c>
      <c r="N40" s="31">
        <v>0</v>
      </c>
      <c r="O40" s="33" t="s">
        <v>186</v>
      </c>
    </row>
    <row r="41" spans="1:15" s="43" customFormat="1" ht="51">
      <c r="A41" s="91" t="s">
        <v>195</v>
      </c>
      <c r="B41" s="91"/>
      <c r="C41" s="91"/>
      <c r="D41" s="91"/>
      <c r="E41" s="35">
        <f>E40+E39+E38</f>
        <v>5281000</v>
      </c>
      <c r="F41" s="35">
        <f>F40+F39+F38</f>
        <v>81000</v>
      </c>
      <c r="G41" s="35">
        <f>G40+G39+G38</f>
        <v>1000000</v>
      </c>
      <c r="H41" s="35">
        <f>H40+H39+H38</f>
        <v>250000</v>
      </c>
      <c r="I41" s="35">
        <f>I40+I39+I38</f>
        <v>750000</v>
      </c>
      <c r="J41" s="42" t="s">
        <v>185</v>
      </c>
      <c r="K41" s="35">
        <f>K40+K39</f>
        <v>0</v>
      </c>
      <c r="L41" s="35">
        <f>L40+L39+L38</f>
        <v>4200000</v>
      </c>
      <c r="M41" s="35">
        <f>M40+M39</f>
        <v>0</v>
      </c>
      <c r="N41" s="35">
        <f>N40+N39</f>
        <v>0</v>
      </c>
      <c r="O41" s="39" t="s">
        <v>188</v>
      </c>
    </row>
    <row r="42" spans="1:15" s="44" customFormat="1" ht="63.75">
      <c r="A42" s="33">
        <v>24</v>
      </c>
      <c r="B42" s="33">
        <v>921</v>
      </c>
      <c r="C42" s="33">
        <v>92109</v>
      </c>
      <c r="D42" s="34" t="s">
        <v>93</v>
      </c>
      <c r="E42" s="31">
        <f>F42+G42+L42+N42+M42</f>
        <v>30000</v>
      </c>
      <c r="F42" s="31">
        <v>0</v>
      </c>
      <c r="G42" s="31">
        <f>H42+I42</f>
        <v>1000</v>
      </c>
      <c r="H42" s="31">
        <v>1000</v>
      </c>
      <c r="I42" s="31">
        <v>0</v>
      </c>
      <c r="J42" s="32" t="s">
        <v>185</v>
      </c>
      <c r="K42" s="31">
        <v>0</v>
      </c>
      <c r="L42" s="31">
        <v>29000</v>
      </c>
      <c r="M42" s="31">
        <v>0</v>
      </c>
      <c r="N42" s="31">
        <v>0</v>
      </c>
      <c r="O42" s="33" t="s">
        <v>186</v>
      </c>
    </row>
    <row r="43" spans="1:15" ht="76.5">
      <c r="A43" s="33">
        <v>25</v>
      </c>
      <c r="B43" s="33">
        <v>921</v>
      </c>
      <c r="C43" s="33">
        <v>92120</v>
      </c>
      <c r="D43" s="34" t="s">
        <v>89</v>
      </c>
      <c r="E43" s="31">
        <f>F43+G43+L43+N43+M43</f>
        <v>6698500</v>
      </c>
      <c r="F43" s="31">
        <f>30500+108000</f>
        <v>138500</v>
      </c>
      <c r="G43" s="31">
        <f>H43+I43</f>
        <v>90000</v>
      </c>
      <c r="H43" s="31">
        <f>50000-10000</f>
        <v>40000</v>
      </c>
      <c r="I43" s="31">
        <v>50000</v>
      </c>
      <c r="J43" s="32" t="s">
        <v>185</v>
      </c>
      <c r="K43" s="31">
        <v>0</v>
      </c>
      <c r="L43" s="31">
        <f>2000000+100000+970000</f>
        <v>3070000</v>
      </c>
      <c r="M43" s="31">
        <f>3000000+400000</f>
        <v>3400000</v>
      </c>
      <c r="N43" s="31">
        <v>0</v>
      </c>
      <c r="O43" s="33" t="s">
        <v>186</v>
      </c>
    </row>
    <row r="44" spans="1:15" ht="51">
      <c r="A44" s="91" t="s">
        <v>29</v>
      </c>
      <c r="B44" s="91"/>
      <c r="C44" s="91"/>
      <c r="D44" s="91"/>
      <c r="E44" s="35">
        <f>E43+E42</f>
        <v>6728500</v>
      </c>
      <c r="F44" s="35">
        <f>F43+F42</f>
        <v>138500</v>
      </c>
      <c r="G44" s="35">
        <f>G43+G42</f>
        <v>91000</v>
      </c>
      <c r="H44" s="35">
        <f>H43+H42</f>
        <v>41000</v>
      </c>
      <c r="I44" s="35">
        <f>I43+I42</f>
        <v>50000</v>
      </c>
      <c r="J44" s="32" t="s">
        <v>185</v>
      </c>
      <c r="K44" s="35">
        <f>K43</f>
        <v>0</v>
      </c>
      <c r="L44" s="35">
        <f>L43+L42</f>
        <v>3099000</v>
      </c>
      <c r="M44" s="35">
        <f>M43</f>
        <v>3400000</v>
      </c>
      <c r="N44" s="35">
        <f>N43</f>
        <v>0</v>
      </c>
      <c r="O44" s="35" t="s">
        <v>188</v>
      </c>
    </row>
    <row r="45" spans="1:15" ht="102">
      <c r="A45" s="33">
        <v>26</v>
      </c>
      <c r="B45" s="34">
        <v>926</v>
      </c>
      <c r="C45" s="34">
        <v>92601</v>
      </c>
      <c r="D45" s="34" t="s">
        <v>77</v>
      </c>
      <c r="E45" s="31">
        <f t="shared" si="0"/>
        <v>2326000</v>
      </c>
      <c r="F45" s="31">
        <v>0</v>
      </c>
      <c r="G45" s="31">
        <v>0</v>
      </c>
      <c r="H45" s="31">
        <v>0</v>
      </c>
      <c r="I45" s="31">
        <v>0</v>
      </c>
      <c r="J45" s="32" t="s">
        <v>185</v>
      </c>
      <c r="K45" s="31">
        <v>0</v>
      </c>
      <c r="L45" s="31">
        <v>1563423</v>
      </c>
      <c r="M45" s="31">
        <v>762577</v>
      </c>
      <c r="N45" s="31">
        <v>0</v>
      </c>
      <c r="O45" s="33" t="s">
        <v>186</v>
      </c>
    </row>
    <row r="46" spans="1:15" ht="51">
      <c r="A46" s="33">
        <v>27</v>
      </c>
      <c r="B46" s="34">
        <v>926</v>
      </c>
      <c r="C46" s="34">
        <v>92604</v>
      </c>
      <c r="D46" s="34" t="s">
        <v>30</v>
      </c>
      <c r="E46" s="31">
        <f t="shared" si="0"/>
        <v>6270293</v>
      </c>
      <c r="F46" s="31">
        <v>40293</v>
      </c>
      <c r="G46" s="31">
        <f>H46+I46</f>
        <v>130000</v>
      </c>
      <c r="H46" s="31">
        <v>130000</v>
      </c>
      <c r="I46" s="31">
        <v>0</v>
      </c>
      <c r="J46" s="32" t="s">
        <v>185</v>
      </c>
      <c r="K46" s="31">
        <v>0</v>
      </c>
      <c r="L46" s="31">
        <v>6100000</v>
      </c>
      <c r="M46" s="31">
        <v>0</v>
      </c>
      <c r="N46" s="31">
        <v>0</v>
      </c>
      <c r="O46" s="33" t="s">
        <v>186</v>
      </c>
    </row>
    <row r="47" spans="1:15" ht="12.75">
      <c r="A47" s="91" t="s">
        <v>196</v>
      </c>
      <c r="B47" s="91"/>
      <c r="C47" s="91"/>
      <c r="D47" s="91"/>
      <c r="E47" s="35">
        <f>E45+E46</f>
        <v>8596293</v>
      </c>
      <c r="F47" s="35">
        <f>F45+F46</f>
        <v>40293</v>
      </c>
      <c r="G47" s="35">
        <f>G45+G46</f>
        <v>130000</v>
      </c>
      <c r="H47" s="35">
        <f>H45+H46</f>
        <v>130000</v>
      </c>
      <c r="I47" s="35">
        <f>I45+I46</f>
        <v>0</v>
      </c>
      <c r="J47" s="35" t="s">
        <v>188</v>
      </c>
      <c r="K47" s="35">
        <f>K45+K46</f>
        <v>0</v>
      </c>
      <c r="L47" s="35">
        <f>L45+L46</f>
        <v>7663423</v>
      </c>
      <c r="M47" s="35">
        <f>M45+M46</f>
        <v>762577</v>
      </c>
      <c r="N47" s="35">
        <f>N45+N46</f>
        <v>0</v>
      </c>
      <c r="O47" s="39" t="s">
        <v>188</v>
      </c>
    </row>
    <row r="48" spans="1:15" ht="51">
      <c r="A48" s="92" t="s">
        <v>148</v>
      </c>
      <c r="B48" s="92"/>
      <c r="C48" s="92"/>
      <c r="D48" s="92"/>
      <c r="E48" s="40">
        <f>E47+E41+E37+E32+E30+E16+E44+E34</f>
        <v>55036665</v>
      </c>
      <c r="F48" s="40">
        <f>F47+F41+F37+F32+F30+F16+F44+F34</f>
        <v>4146862</v>
      </c>
      <c r="G48" s="40">
        <f>G47+G41+G37+G32+G30+G16+G44+G34</f>
        <v>11301368</v>
      </c>
      <c r="H48" s="40">
        <f>H47+H41+H37+H32+H30+H16+H44+H34</f>
        <v>1851139</v>
      </c>
      <c r="I48" s="40">
        <f>I47+I41+I37+I32+I30+I16+I44+I34</f>
        <v>4890872</v>
      </c>
      <c r="J48" s="42" t="s">
        <v>47</v>
      </c>
      <c r="K48" s="40">
        <f>K47+K41+K37+K32+K30+K16+K44+K34</f>
        <v>3757266</v>
      </c>
      <c r="L48" s="40">
        <f>L47+L41+L37+L32+L30+L16+L44+L34</f>
        <v>32375858</v>
      </c>
      <c r="M48" s="40">
        <f>M47+M41+M37+M32+M30+M16+M44+M34</f>
        <v>7212577</v>
      </c>
      <c r="N48" s="40">
        <f>N47+N41+N37+N32+N30+N16+N44+N34</f>
        <v>0</v>
      </c>
      <c r="O48" s="40" t="s">
        <v>188</v>
      </c>
    </row>
    <row r="49" spans="5:9" ht="12.75">
      <c r="E49" s="27"/>
      <c r="F49" s="27"/>
      <c r="G49" s="27"/>
      <c r="H49" s="27"/>
      <c r="I49" s="27"/>
    </row>
    <row r="50" spans="5:14" ht="12.75">
      <c r="E50" s="27"/>
      <c r="F50" s="27"/>
      <c r="G50" s="27"/>
      <c r="H50" s="27"/>
      <c r="I50" s="27"/>
      <c r="N50" s="1" t="s">
        <v>208</v>
      </c>
    </row>
    <row r="51" spans="5:14" ht="12.75">
      <c r="E51" s="27"/>
      <c r="G51" s="27"/>
      <c r="H51" s="27"/>
      <c r="I51" s="27"/>
      <c r="N51" s="1" t="s">
        <v>209</v>
      </c>
    </row>
    <row r="52" spans="7:9" ht="12.75">
      <c r="G52" s="27"/>
      <c r="H52" s="27"/>
      <c r="I52" s="27"/>
    </row>
    <row r="53" spans="5:14" ht="12.75">
      <c r="E53" s="27"/>
      <c r="F53" s="27"/>
      <c r="G53" s="27"/>
      <c r="H53" s="27"/>
      <c r="I53" s="27"/>
      <c r="J53" s="27"/>
      <c r="K53" s="27"/>
      <c r="L53" s="27"/>
      <c r="M53" s="27"/>
      <c r="N53" s="1" t="s">
        <v>210</v>
      </c>
    </row>
    <row r="54" spans="5:12" ht="12.75">
      <c r="E54" s="27"/>
      <c r="G54" s="27"/>
      <c r="H54" s="27"/>
      <c r="L54" s="27"/>
    </row>
    <row r="55" spans="7:8" ht="12.75">
      <c r="G55" s="27"/>
      <c r="H55" s="27"/>
    </row>
    <row r="56" spans="5:7" ht="12.75">
      <c r="E56" s="27"/>
      <c r="G56" s="27"/>
    </row>
    <row r="57" spans="5:9" ht="12.75">
      <c r="E57" s="27"/>
      <c r="G57" s="27"/>
      <c r="I57" s="27"/>
    </row>
    <row r="58" spans="5:7" ht="12.75">
      <c r="E58" s="27"/>
      <c r="G58" s="27"/>
    </row>
    <row r="59" spans="5:7" ht="12.75">
      <c r="E59" s="27"/>
      <c r="G59" s="27"/>
    </row>
    <row r="60" ht="12.75">
      <c r="E60" s="27"/>
    </row>
    <row r="61" ht="12.75">
      <c r="G61" s="27"/>
    </row>
    <row r="62" ht="12.75">
      <c r="G62" s="27"/>
    </row>
  </sheetData>
  <sheetProtection/>
  <mergeCells count="28"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A37:D37"/>
    <mergeCell ref="A30:D30"/>
    <mergeCell ref="A32:D32"/>
    <mergeCell ref="A16:D16"/>
    <mergeCell ref="A34:D34"/>
    <mergeCell ref="A41:D41"/>
    <mergeCell ref="A44:D44"/>
    <mergeCell ref="A47:D47"/>
    <mergeCell ref="A48:D48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E48">
      <selection activeCell="J54" sqref="J54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" customWidth="1"/>
    <col min="5" max="5" width="12.75390625" style="1" customWidth="1"/>
    <col min="6" max="7" width="10.125" style="1" customWidth="1"/>
    <col min="8" max="8" width="26.6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8:10" ht="12.75" customHeight="1">
      <c r="H1" s="90" t="s">
        <v>211</v>
      </c>
      <c r="I1" s="90"/>
      <c r="J1" s="90"/>
    </row>
    <row r="2" spans="8:10" ht="12.75" customHeight="1">
      <c r="H2" s="90"/>
      <c r="I2" s="90"/>
      <c r="J2" s="90"/>
    </row>
    <row r="3" spans="8:10" ht="12.75">
      <c r="H3" s="90"/>
      <c r="I3" s="90"/>
      <c r="J3" s="90"/>
    </row>
    <row r="4" spans="8:10" ht="12.75">
      <c r="H4" s="90"/>
      <c r="I4" s="90"/>
      <c r="J4" s="90"/>
    </row>
    <row r="5" spans="8:10" ht="12.75">
      <c r="H5" s="90"/>
      <c r="I5" s="90"/>
      <c r="J5" s="90"/>
    </row>
    <row r="6" spans="1:10" ht="18">
      <c r="A6" s="96" t="s">
        <v>74</v>
      </c>
      <c r="B6" s="96"/>
      <c r="C6" s="96"/>
      <c r="D6" s="96"/>
      <c r="E6" s="96"/>
      <c r="F6" s="96"/>
      <c r="G6" s="96"/>
      <c r="H6" s="96"/>
      <c r="I6" s="96"/>
      <c r="J6" s="96"/>
    </row>
    <row r="7" spans="1:10" ht="10.5" customHeight="1">
      <c r="A7" s="4"/>
      <c r="B7" s="4"/>
      <c r="C7" s="4"/>
      <c r="D7" s="4"/>
      <c r="E7" s="4"/>
      <c r="F7" s="4"/>
      <c r="G7" s="4"/>
      <c r="H7" s="4"/>
      <c r="I7" s="4"/>
      <c r="J7" s="3" t="s">
        <v>135</v>
      </c>
    </row>
    <row r="8" spans="1:10" s="8" customFormat="1" ht="19.5" customHeight="1">
      <c r="A8" s="88" t="s">
        <v>136</v>
      </c>
      <c r="B8" s="88" t="s">
        <v>125</v>
      </c>
      <c r="C8" s="88" t="s">
        <v>134</v>
      </c>
      <c r="D8" s="89" t="s">
        <v>152</v>
      </c>
      <c r="E8" s="89" t="s">
        <v>140</v>
      </c>
      <c r="F8" s="89"/>
      <c r="G8" s="89"/>
      <c r="H8" s="89"/>
      <c r="I8" s="89"/>
      <c r="J8" s="89" t="s">
        <v>138</v>
      </c>
    </row>
    <row r="9" spans="1:10" s="8" customFormat="1" ht="19.5" customHeight="1">
      <c r="A9" s="88"/>
      <c r="B9" s="88"/>
      <c r="C9" s="88"/>
      <c r="D9" s="89"/>
      <c r="E9" s="89" t="s">
        <v>41</v>
      </c>
      <c r="F9" s="89" t="s">
        <v>131</v>
      </c>
      <c r="G9" s="89"/>
      <c r="H9" s="89"/>
      <c r="I9" s="89"/>
      <c r="J9" s="89"/>
    </row>
    <row r="10" spans="1:10" s="8" customFormat="1" ht="29.25" customHeight="1">
      <c r="A10" s="88"/>
      <c r="B10" s="88"/>
      <c r="C10" s="88"/>
      <c r="D10" s="89"/>
      <c r="E10" s="89"/>
      <c r="F10" s="89" t="s">
        <v>149</v>
      </c>
      <c r="G10" s="89" t="s">
        <v>145</v>
      </c>
      <c r="H10" s="89" t="s">
        <v>151</v>
      </c>
      <c r="I10" s="89" t="s">
        <v>146</v>
      </c>
      <c r="J10" s="89"/>
    </row>
    <row r="11" spans="1:10" s="8" customFormat="1" ht="19.5" customHeight="1">
      <c r="A11" s="88"/>
      <c r="B11" s="88"/>
      <c r="C11" s="88"/>
      <c r="D11" s="89"/>
      <c r="E11" s="89"/>
      <c r="F11" s="89"/>
      <c r="G11" s="89"/>
      <c r="H11" s="89"/>
      <c r="I11" s="89"/>
      <c r="J11" s="89"/>
    </row>
    <row r="12" spans="1:10" s="8" customFormat="1" ht="19.5" customHeight="1">
      <c r="A12" s="88"/>
      <c r="B12" s="88"/>
      <c r="C12" s="88"/>
      <c r="D12" s="89"/>
      <c r="E12" s="89"/>
      <c r="F12" s="89"/>
      <c r="G12" s="89"/>
      <c r="H12" s="89"/>
      <c r="I12" s="89"/>
      <c r="J12" s="89"/>
    </row>
    <row r="13" spans="1:10" ht="7.5" customHeight="1">
      <c r="A13" s="5">
        <v>1</v>
      </c>
      <c r="B13" s="5">
        <v>2</v>
      </c>
      <c r="C13" s="5">
        <v>3</v>
      </c>
      <c r="D13" s="5">
        <v>4</v>
      </c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5">
        <v>11</v>
      </c>
    </row>
    <row r="14" spans="1:10" s="80" customFormat="1" ht="59.25" customHeight="1">
      <c r="A14" s="28">
        <v>1</v>
      </c>
      <c r="B14" s="29" t="s">
        <v>173</v>
      </c>
      <c r="C14" s="29" t="s">
        <v>174</v>
      </c>
      <c r="D14" s="34" t="s">
        <v>52</v>
      </c>
      <c r="E14" s="38">
        <f aca="true" t="shared" si="0" ref="E14:E20">F14+G14</f>
        <v>23000</v>
      </c>
      <c r="F14" s="31">
        <v>23000</v>
      </c>
      <c r="G14" s="28">
        <v>0</v>
      </c>
      <c r="H14" s="32" t="s">
        <v>139</v>
      </c>
      <c r="I14" s="28">
        <v>0</v>
      </c>
      <c r="J14" s="33" t="s">
        <v>186</v>
      </c>
    </row>
    <row r="15" spans="1:10" s="81" customFormat="1" ht="51" customHeight="1">
      <c r="A15" s="98" t="s">
        <v>187</v>
      </c>
      <c r="B15" s="85"/>
      <c r="C15" s="85"/>
      <c r="D15" s="86"/>
      <c r="E15" s="45">
        <f t="shared" si="0"/>
        <v>23000</v>
      </c>
      <c r="F15" s="35">
        <f>F14</f>
        <v>23000</v>
      </c>
      <c r="G15" s="39">
        <v>0</v>
      </c>
      <c r="H15" s="42" t="s">
        <v>139</v>
      </c>
      <c r="I15" s="39">
        <v>0</v>
      </c>
      <c r="J15" s="36" t="s">
        <v>188</v>
      </c>
    </row>
    <row r="16" spans="1:10" ht="54" customHeight="1">
      <c r="A16" s="28">
        <v>2</v>
      </c>
      <c r="B16" s="28">
        <v>600</v>
      </c>
      <c r="C16" s="28">
        <v>60016</v>
      </c>
      <c r="D16" s="41" t="s">
        <v>34</v>
      </c>
      <c r="E16" s="38">
        <f t="shared" si="0"/>
        <v>84000</v>
      </c>
      <c r="F16" s="38">
        <f>100000-16000</f>
        <v>84000</v>
      </c>
      <c r="G16" s="31">
        <v>0</v>
      </c>
      <c r="H16" s="32" t="s">
        <v>139</v>
      </c>
      <c r="I16" s="28">
        <v>0</v>
      </c>
      <c r="J16" s="33" t="s">
        <v>186</v>
      </c>
    </row>
    <row r="17" spans="1:10" ht="60" customHeight="1">
      <c r="A17" s="28">
        <v>3</v>
      </c>
      <c r="B17" s="28">
        <v>600</v>
      </c>
      <c r="C17" s="28">
        <v>60016</v>
      </c>
      <c r="D17" s="41" t="s">
        <v>35</v>
      </c>
      <c r="E17" s="38">
        <f t="shared" si="0"/>
        <v>378000</v>
      </c>
      <c r="F17" s="38">
        <f>50000+42000</f>
        <v>92000</v>
      </c>
      <c r="G17" s="31">
        <f>250000+36000</f>
        <v>286000</v>
      </c>
      <c r="H17" s="32" t="s">
        <v>139</v>
      </c>
      <c r="I17" s="28">
        <v>0</v>
      </c>
      <c r="J17" s="33" t="s">
        <v>186</v>
      </c>
    </row>
    <row r="18" spans="1:10" ht="57.75" customHeight="1">
      <c r="A18" s="28">
        <v>4</v>
      </c>
      <c r="B18" s="28">
        <v>600</v>
      </c>
      <c r="C18" s="28">
        <v>60016</v>
      </c>
      <c r="D18" s="41" t="s">
        <v>40</v>
      </c>
      <c r="E18" s="38">
        <f t="shared" si="0"/>
        <v>396000</v>
      </c>
      <c r="F18" s="38">
        <f>50000+46000</f>
        <v>96000</v>
      </c>
      <c r="G18" s="31">
        <v>300000</v>
      </c>
      <c r="H18" s="32" t="s">
        <v>139</v>
      </c>
      <c r="I18" s="28">
        <v>0</v>
      </c>
      <c r="J18" s="33" t="s">
        <v>186</v>
      </c>
    </row>
    <row r="19" spans="1:10" ht="57.75" customHeight="1">
      <c r="A19" s="28">
        <v>5</v>
      </c>
      <c r="B19" s="28">
        <v>600</v>
      </c>
      <c r="C19" s="28">
        <v>60016</v>
      </c>
      <c r="D19" s="41" t="s">
        <v>48</v>
      </c>
      <c r="E19" s="38">
        <f t="shared" si="0"/>
        <v>63210</v>
      </c>
      <c r="F19" s="38">
        <f>10000-790</f>
        <v>9210</v>
      </c>
      <c r="G19" s="31">
        <f>90000-36000</f>
        <v>54000</v>
      </c>
      <c r="H19" s="32" t="s">
        <v>139</v>
      </c>
      <c r="I19" s="28">
        <v>0</v>
      </c>
      <c r="J19" s="33" t="s">
        <v>186</v>
      </c>
    </row>
    <row r="20" spans="1:10" ht="57.75" customHeight="1">
      <c r="A20" s="28">
        <v>6</v>
      </c>
      <c r="B20" s="28">
        <v>600</v>
      </c>
      <c r="C20" s="28">
        <v>60016</v>
      </c>
      <c r="D20" s="41" t="s">
        <v>36</v>
      </c>
      <c r="E20" s="38">
        <f t="shared" si="0"/>
        <v>235000</v>
      </c>
      <c r="F20" s="38">
        <f>20000+15000</f>
        <v>35000</v>
      </c>
      <c r="G20" s="31">
        <v>200000</v>
      </c>
      <c r="H20" s="32" t="s">
        <v>139</v>
      </c>
      <c r="I20" s="28">
        <v>0</v>
      </c>
      <c r="J20" s="33" t="s">
        <v>186</v>
      </c>
    </row>
    <row r="21" spans="1:10" ht="57.75" customHeight="1">
      <c r="A21" s="28">
        <v>7</v>
      </c>
      <c r="B21" s="28">
        <v>600</v>
      </c>
      <c r="C21" s="28">
        <v>60016</v>
      </c>
      <c r="D21" s="41" t="s">
        <v>67</v>
      </c>
      <c r="E21" s="38">
        <f>F21+G21+25000</f>
        <v>107500</v>
      </c>
      <c r="F21" s="38">
        <f>10000+7500</f>
        <v>17500</v>
      </c>
      <c r="G21" s="31">
        <f>90000-25000</f>
        <v>65000</v>
      </c>
      <c r="H21" s="32" t="s">
        <v>51</v>
      </c>
      <c r="I21" s="28">
        <v>0</v>
      </c>
      <c r="J21" s="33" t="s">
        <v>186</v>
      </c>
    </row>
    <row r="22" spans="1:10" ht="57.75" customHeight="1">
      <c r="A22" s="28">
        <v>8</v>
      </c>
      <c r="B22" s="28">
        <v>600</v>
      </c>
      <c r="C22" s="28">
        <v>60016</v>
      </c>
      <c r="D22" s="41" t="s">
        <v>68</v>
      </c>
      <c r="E22" s="38">
        <f>F22+G22</f>
        <v>171500</v>
      </c>
      <c r="F22" s="38">
        <f>50000-28500+4100</f>
        <v>25600</v>
      </c>
      <c r="G22" s="31">
        <f>150000-4100</f>
        <v>145900</v>
      </c>
      <c r="H22" s="32" t="s">
        <v>139</v>
      </c>
      <c r="I22" s="28">
        <v>0</v>
      </c>
      <c r="J22" s="33" t="s">
        <v>186</v>
      </c>
    </row>
    <row r="23" spans="1:10" ht="57.75" customHeight="1">
      <c r="A23" s="28">
        <v>9</v>
      </c>
      <c r="B23" s="28">
        <v>600</v>
      </c>
      <c r="C23" s="28">
        <v>60016</v>
      </c>
      <c r="D23" s="41" t="s">
        <v>69</v>
      </c>
      <c r="E23" s="38">
        <f>F23+G23</f>
        <v>146500</v>
      </c>
      <c r="F23" s="38">
        <f>50000-3500</f>
        <v>46500</v>
      </c>
      <c r="G23" s="31">
        <v>100000</v>
      </c>
      <c r="H23" s="32" t="s">
        <v>139</v>
      </c>
      <c r="I23" s="28">
        <v>0</v>
      </c>
      <c r="J23" s="33" t="s">
        <v>186</v>
      </c>
    </row>
    <row r="24" spans="1:10" ht="57.75" customHeight="1">
      <c r="A24" s="28">
        <v>10</v>
      </c>
      <c r="B24" s="28">
        <v>600</v>
      </c>
      <c r="C24" s="28">
        <v>60016</v>
      </c>
      <c r="D24" s="41" t="s">
        <v>97</v>
      </c>
      <c r="E24" s="38">
        <f>F24+G24</f>
        <v>20000</v>
      </c>
      <c r="F24" s="38">
        <v>20000</v>
      </c>
      <c r="G24" s="31">
        <v>0</v>
      </c>
      <c r="H24" s="32" t="s">
        <v>139</v>
      </c>
      <c r="I24" s="28">
        <v>0</v>
      </c>
      <c r="J24" s="33" t="s">
        <v>186</v>
      </c>
    </row>
    <row r="25" spans="1:10" ht="111.75" customHeight="1">
      <c r="A25" s="28">
        <v>11</v>
      </c>
      <c r="B25" s="37">
        <v>600</v>
      </c>
      <c r="C25" s="37">
        <v>60016</v>
      </c>
      <c r="D25" s="30" t="s">
        <v>104</v>
      </c>
      <c r="E25" s="38">
        <f>F25</f>
        <v>36000</v>
      </c>
      <c r="F25" s="38">
        <v>36000</v>
      </c>
      <c r="G25" s="31">
        <v>0</v>
      </c>
      <c r="H25" s="32" t="s">
        <v>139</v>
      </c>
      <c r="I25" s="28">
        <v>0</v>
      </c>
      <c r="J25" s="33" t="s">
        <v>186</v>
      </c>
    </row>
    <row r="26" spans="1:10" ht="57.75" customHeight="1">
      <c r="A26" s="28">
        <v>12</v>
      </c>
      <c r="B26" s="28">
        <v>600</v>
      </c>
      <c r="C26" s="28">
        <v>60016</v>
      </c>
      <c r="D26" s="41" t="s">
        <v>107</v>
      </c>
      <c r="E26" s="38">
        <f>F26+G26</f>
        <v>60000</v>
      </c>
      <c r="F26" s="38">
        <v>1000</v>
      </c>
      <c r="G26" s="31">
        <v>59000</v>
      </c>
      <c r="H26" s="32" t="s">
        <v>139</v>
      </c>
      <c r="I26" s="28">
        <v>0</v>
      </c>
      <c r="J26" s="33" t="s">
        <v>186</v>
      </c>
    </row>
    <row r="27" spans="1:10" s="43" customFormat="1" ht="57.75" customHeight="1">
      <c r="A27" s="87" t="s">
        <v>192</v>
      </c>
      <c r="B27" s="87"/>
      <c r="C27" s="87"/>
      <c r="D27" s="87"/>
      <c r="E27" s="45">
        <f>F27+G27+25000</f>
        <v>1697710</v>
      </c>
      <c r="F27" s="45">
        <f>F20+F18+F17+F16+F19+F21+F22+F23+F24+F26+F25</f>
        <v>462810</v>
      </c>
      <c r="G27" s="45">
        <f>G20+G18+G17+G16+G19+G21+G22+G23+G24+G26+G25</f>
        <v>1209900</v>
      </c>
      <c r="H27" s="42" t="s">
        <v>51</v>
      </c>
      <c r="I27" s="39">
        <v>0</v>
      </c>
      <c r="J27" s="36" t="s">
        <v>188</v>
      </c>
    </row>
    <row r="28" spans="1:10" s="44" customFormat="1" ht="57.75" customHeight="1">
      <c r="A28" s="28">
        <v>13</v>
      </c>
      <c r="B28" s="28">
        <v>700</v>
      </c>
      <c r="C28" s="28">
        <v>70005</v>
      </c>
      <c r="D28" s="67" t="s">
        <v>8</v>
      </c>
      <c r="E28" s="38">
        <f>F28+G28</f>
        <v>100000</v>
      </c>
      <c r="F28" s="38">
        <v>100000</v>
      </c>
      <c r="G28" s="38">
        <v>0</v>
      </c>
      <c r="H28" s="32" t="s">
        <v>139</v>
      </c>
      <c r="I28" s="28">
        <v>0</v>
      </c>
      <c r="J28" s="33" t="s">
        <v>186</v>
      </c>
    </row>
    <row r="29" spans="1:10" s="43" customFormat="1" ht="57.75" customHeight="1">
      <c r="A29" s="87" t="s">
        <v>193</v>
      </c>
      <c r="B29" s="87"/>
      <c r="C29" s="87"/>
      <c r="D29" s="87"/>
      <c r="E29" s="45">
        <f>F29+G29</f>
        <v>100000</v>
      </c>
      <c r="F29" s="45">
        <f>F28</f>
        <v>100000</v>
      </c>
      <c r="G29" s="45">
        <v>0</v>
      </c>
      <c r="H29" s="42" t="s">
        <v>139</v>
      </c>
      <c r="I29" s="39">
        <v>0</v>
      </c>
      <c r="J29" s="36" t="s">
        <v>188</v>
      </c>
    </row>
    <row r="30" spans="1:10" s="44" customFormat="1" ht="57.75" customHeight="1">
      <c r="A30" s="28">
        <v>14</v>
      </c>
      <c r="B30" s="28">
        <v>750</v>
      </c>
      <c r="C30" s="28">
        <v>75023</v>
      </c>
      <c r="D30" s="41" t="s">
        <v>198</v>
      </c>
      <c r="E30" s="38">
        <f>F30+G30</f>
        <v>23798</v>
      </c>
      <c r="F30" s="38">
        <f>100000-15000-59000-2202</f>
        <v>23798</v>
      </c>
      <c r="G30" s="38">
        <v>0</v>
      </c>
      <c r="H30" s="32" t="s">
        <v>139</v>
      </c>
      <c r="I30" s="28">
        <v>0</v>
      </c>
      <c r="J30" s="33" t="s">
        <v>186</v>
      </c>
    </row>
    <row r="31" spans="1:10" s="44" customFormat="1" ht="57.75" customHeight="1">
      <c r="A31" s="28">
        <v>15</v>
      </c>
      <c r="B31" s="28">
        <v>750</v>
      </c>
      <c r="C31" s="28">
        <v>75023</v>
      </c>
      <c r="D31" s="41" t="s">
        <v>92</v>
      </c>
      <c r="E31" s="38">
        <v>15000</v>
      </c>
      <c r="F31" s="38">
        <v>15000</v>
      </c>
      <c r="G31" s="38">
        <v>0</v>
      </c>
      <c r="H31" s="32" t="s">
        <v>139</v>
      </c>
      <c r="I31" s="28">
        <v>0</v>
      </c>
      <c r="J31" s="33" t="s">
        <v>186</v>
      </c>
    </row>
    <row r="32" spans="1:10" s="44" customFormat="1" ht="57.75" customHeight="1">
      <c r="A32" s="28">
        <v>16</v>
      </c>
      <c r="B32" s="28">
        <v>750</v>
      </c>
      <c r="C32" s="28">
        <v>75023</v>
      </c>
      <c r="D32" s="41" t="s">
        <v>79</v>
      </c>
      <c r="E32" s="38">
        <f>F32</f>
        <v>30000</v>
      </c>
      <c r="F32" s="38">
        <v>30000</v>
      </c>
      <c r="G32" s="38">
        <v>0</v>
      </c>
      <c r="H32" s="32" t="s">
        <v>139</v>
      </c>
      <c r="I32" s="28">
        <v>0</v>
      </c>
      <c r="J32" s="33" t="s">
        <v>186</v>
      </c>
    </row>
    <row r="33" spans="1:10" s="43" customFormat="1" ht="57.75" customHeight="1">
      <c r="A33" s="87" t="s">
        <v>199</v>
      </c>
      <c r="B33" s="87"/>
      <c r="C33" s="87"/>
      <c r="D33" s="87"/>
      <c r="E33" s="45">
        <f aca="true" t="shared" si="1" ref="E33:E41">F33+G33</f>
        <v>68798</v>
      </c>
      <c r="F33" s="45">
        <f>F30+F32+F31</f>
        <v>68798</v>
      </c>
      <c r="G33" s="45">
        <f>G30+G32</f>
        <v>0</v>
      </c>
      <c r="H33" s="42" t="s">
        <v>139</v>
      </c>
      <c r="I33" s="39">
        <v>0</v>
      </c>
      <c r="J33" s="36" t="s">
        <v>188</v>
      </c>
    </row>
    <row r="34" spans="1:10" s="44" customFormat="1" ht="78" customHeight="1">
      <c r="A34" s="28">
        <v>17</v>
      </c>
      <c r="B34" s="28">
        <v>754</v>
      </c>
      <c r="C34" s="28">
        <v>75412</v>
      </c>
      <c r="D34" s="34" t="s">
        <v>42</v>
      </c>
      <c r="E34" s="38">
        <f>F34+G34+30000+3000</f>
        <v>48000</v>
      </c>
      <c r="F34" s="38">
        <v>15000</v>
      </c>
      <c r="G34" s="38">
        <v>0</v>
      </c>
      <c r="H34" s="32" t="s">
        <v>21</v>
      </c>
      <c r="I34" s="28">
        <v>0</v>
      </c>
      <c r="J34" s="33" t="s">
        <v>186</v>
      </c>
    </row>
    <row r="35" spans="1:10" s="43" customFormat="1" ht="81.75" customHeight="1">
      <c r="A35" s="98" t="s">
        <v>43</v>
      </c>
      <c r="B35" s="85"/>
      <c r="C35" s="85"/>
      <c r="D35" s="86"/>
      <c r="E35" s="45">
        <f t="shared" si="1"/>
        <v>15000</v>
      </c>
      <c r="F35" s="45">
        <f>F34</f>
        <v>15000</v>
      </c>
      <c r="G35" s="45">
        <f>G34</f>
        <v>0</v>
      </c>
      <c r="H35" s="42" t="str">
        <f>H34</f>
        <v>A.      
B. 30 000 - dotacja z WZOSP w Kielcach; 3 000 zł wpłata OSP w Koperni
C.
D. </v>
      </c>
      <c r="I35" s="39">
        <v>0</v>
      </c>
      <c r="J35" s="36" t="s">
        <v>188</v>
      </c>
    </row>
    <row r="36" spans="1:10" s="44" customFormat="1" ht="57.75" customHeight="1">
      <c r="A36" s="28">
        <v>18</v>
      </c>
      <c r="B36" s="28">
        <v>801</v>
      </c>
      <c r="C36" s="28">
        <v>80110</v>
      </c>
      <c r="D36" s="34" t="s">
        <v>53</v>
      </c>
      <c r="E36" s="38">
        <f t="shared" si="1"/>
        <v>25000</v>
      </c>
      <c r="F36" s="38">
        <v>0</v>
      </c>
      <c r="G36" s="38">
        <v>25000</v>
      </c>
      <c r="H36" s="32" t="s">
        <v>139</v>
      </c>
      <c r="I36" s="28">
        <v>0</v>
      </c>
      <c r="J36" s="33" t="s">
        <v>186</v>
      </c>
    </row>
    <row r="37" spans="1:10" s="43" customFormat="1" ht="57.75" customHeight="1">
      <c r="A37" s="98" t="s">
        <v>194</v>
      </c>
      <c r="B37" s="85"/>
      <c r="C37" s="85"/>
      <c r="D37" s="86"/>
      <c r="E37" s="45">
        <f t="shared" si="1"/>
        <v>25000</v>
      </c>
      <c r="F37" s="45">
        <f>F36</f>
        <v>0</v>
      </c>
      <c r="G37" s="45">
        <f>G36</f>
        <v>25000</v>
      </c>
      <c r="H37" s="42" t="str">
        <f>H36</f>
        <v>A.      
B.
C.
D. </v>
      </c>
      <c r="I37" s="39">
        <f>I36</f>
        <v>0</v>
      </c>
      <c r="J37" s="36" t="s">
        <v>188</v>
      </c>
    </row>
    <row r="38" spans="1:10" s="44" customFormat="1" ht="57.75" customHeight="1">
      <c r="A38" s="82">
        <v>19</v>
      </c>
      <c r="B38" s="83">
        <v>851</v>
      </c>
      <c r="C38" s="83">
        <v>85154</v>
      </c>
      <c r="D38" s="84" t="s">
        <v>54</v>
      </c>
      <c r="E38" s="38">
        <f t="shared" si="1"/>
        <v>5500</v>
      </c>
      <c r="F38" s="38">
        <v>5500</v>
      </c>
      <c r="G38" s="38">
        <v>0</v>
      </c>
      <c r="H38" s="32" t="str">
        <f>H37</f>
        <v>A.      
B.
C.
D. </v>
      </c>
      <c r="I38" s="28">
        <v>0</v>
      </c>
      <c r="J38" s="33" t="str">
        <f>J36</f>
        <v>Urząd Miejski w Pińczowie</v>
      </c>
    </row>
    <row r="39" spans="1:10" s="43" customFormat="1" ht="57.75" customHeight="1">
      <c r="A39" s="98" t="s">
        <v>55</v>
      </c>
      <c r="B39" s="85"/>
      <c r="C39" s="85"/>
      <c r="D39" s="86"/>
      <c r="E39" s="45">
        <f t="shared" si="1"/>
        <v>5500</v>
      </c>
      <c r="F39" s="45">
        <f>F38</f>
        <v>5500</v>
      </c>
      <c r="G39" s="45">
        <f>G38</f>
        <v>0</v>
      </c>
      <c r="H39" s="42" t="str">
        <f>H38</f>
        <v>A.      
B.
C.
D. </v>
      </c>
      <c r="I39" s="39">
        <v>0</v>
      </c>
      <c r="J39" s="36" t="s">
        <v>188</v>
      </c>
    </row>
    <row r="40" spans="1:10" s="44" customFormat="1" ht="57.75" customHeight="1">
      <c r="A40" s="28">
        <v>20</v>
      </c>
      <c r="B40" s="28">
        <v>852</v>
      </c>
      <c r="C40" s="28">
        <v>85219</v>
      </c>
      <c r="D40" s="34" t="s">
        <v>56</v>
      </c>
      <c r="E40" s="38">
        <f t="shared" si="1"/>
        <v>29600</v>
      </c>
      <c r="F40" s="38">
        <v>29600</v>
      </c>
      <c r="G40" s="38">
        <v>0</v>
      </c>
      <c r="H40" s="32" t="str">
        <f>H39</f>
        <v>A.      
B.
C.
D. </v>
      </c>
      <c r="I40" s="28">
        <v>0</v>
      </c>
      <c r="J40" s="33" t="str">
        <f>J42</f>
        <v>Miejsko-Gminny Ośrodek Pomocy Społecznej w Pińczowie</v>
      </c>
    </row>
    <row r="41" spans="1:10" s="43" customFormat="1" ht="57.75" customHeight="1">
      <c r="A41" s="98" t="s">
        <v>7</v>
      </c>
      <c r="B41" s="85"/>
      <c r="C41" s="85"/>
      <c r="D41" s="86"/>
      <c r="E41" s="45">
        <f t="shared" si="1"/>
        <v>29600</v>
      </c>
      <c r="F41" s="45">
        <f>F40</f>
        <v>29600</v>
      </c>
      <c r="G41" s="45">
        <f>G40</f>
        <v>0</v>
      </c>
      <c r="H41" s="42" t="str">
        <f>H40</f>
        <v>A.      
B.
C.
D. </v>
      </c>
      <c r="I41" s="39">
        <v>0</v>
      </c>
      <c r="J41" s="36" t="s">
        <v>188</v>
      </c>
    </row>
    <row r="42" spans="1:10" s="44" customFormat="1" ht="57.75" customHeight="1">
      <c r="A42" s="28">
        <v>21</v>
      </c>
      <c r="B42" s="28">
        <v>853</v>
      </c>
      <c r="C42" s="28">
        <v>85395</v>
      </c>
      <c r="D42" s="34" t="s">
        <v>94</v>
      </c>
      <c r="E42" s="38">
        <f>F42+G42+I42+629</f>
        <v>12500</v>
      </c>
      <c r="F42" s="38">
        <v>0</v>
      </c>
      <c r="G42" s="38">
        <v>0</v>
      </c>
      <c r="H42" s="32" t="s">
        <v>116</v>
      </c>
      <c r="I42" s="31">
        <v>11871</v>
      </c>
      <c r="J42" s="33" t="s">
        <v>96</v>
      </c>
    </row>
    <row r="43" spans="1:10" s="43" customFormat="1" ht="57.75" customHeight="1">
      <c r="A43" s="98" t="s">
        <v>95</v>
      </c>
      <c r="B43" s="85"/>
      <c r="C43" s="85"/>
      <c r="D43" s="86"/>
      <c r="E43" s="45">
        <f>E42</f>
        <v>12500</v>
      </c>
      <c r="F43" s="45">
        <f>F42</f>
        <v>0</v>
      </c>
      <c r="G43" s="45">
        <f>G42</f>
        <v>0</v>
      </c>
      <c r="H43" s="42" t="str">
        <f>H42</f>
        <v>A.      
B.
C. 629 - dotacja rozwojowa
D. </v>
      </c>
      <c r="I43" s="35">
        <f>I42</f>
        <v>11871</v>
      </c>
      <c r="J43" s="36" t="s">
        <v>91</v>
      </c>
    </row>
    <row r="44" spans="1:10" ht="54.75" customHeight="1">
      <c r="A44" s="28">
        <v>22</v>
      </c>
      <c r="B44" s="28">
        <v>900</v>
      </c>
      <c r="C44" s="28">
        <v>90015</v>
      </c>
      <c r="D44" s="41" t="s">
        <v>38</v>
      </c>
      <c r="E44" s="38">
        <f>F44+G44</f>
        <v>145000</v>
      </c>
      <c r="F44" s="31">
        <v>50000</v>
      </c>
      <c r="G44" s="31">
        <f>150000-55000</f>
        <v>95000</v>
      </c>
      <c r="H44" s="32" t="s">
        <v>139</v>
      </c>
      <c r="I44" s="28">
        <v>0</v>
      </c>
      <c r="J44" s="33" t="s">
        <v>186</v>
      </c>
    </row>
    <row r="45" spans="1:10" ht="54.75" customHeight="1">
      <c r="A45" s="28">
        <v>23</v>
      </c>
      <c r="B45" s="28">
        <v>900</v>
      </c>
      <c r="C45" s="28">
        <v>90095</v>
      </c>
      <c r="D45" s="41" t="s">
        <v>76</v>
      </c>
      <c r="E45" s="38">
        <v>10980</v>
      </c>
      <c r="F45" s="31">
        <v>10980</v>
      </c>
      <c r="G45" s="31">
        <v>0</v>
      </c>
      <c r="H45" s="32" t="s">
        <v>139</v>
      </c>
      <c r="I45" s="28">
        <v>0</v>
      </c>
      <c r="J45" s="33" t="s">
        <v>186</v>
      </c>
    </row>
    <row r="46" spans="1:10" s="43" customFormat="1" ht="54.75" customHeight="1">
      <c r="A46" s="87" t="s">
        <v>195</v>
      </c>
      <c r="B46" s="87"/>
      <c r="C46" s="87"/>
      <c r="D46" s="87"/>
      <c r="E46" s="45">
        <f>F46+G46</f>
        <v>155980</v>
      </c>
      <c r="F46" s="35">
        <f>F44+F45</f>
        <v>60980</v>
      </c>
      <c r="G46" s="35">
        <f>G44</f>
        <v>95000</v>
      </c>
      <c r="H46" s="42" t="s">
        <v>39</v>
      </c>
      <c r="I46" s="39">
        <v>0</v>
      </c>
      <c r="J46" s="36" t="s">
        <v>188</v>
      </c>
    </row>
    <row r="47" spans="1:10" s="44" customFormat="1" ht="54.75" customHeight="1">
      <c r="A47" s="28">
        <v>24</v>
      </c>
      <c r="B47" s="28">
        <v>921</v>
      </c>
      <c r="C47" s="28">
        <v>92109</v>
      </c>
      <c r="D47" s="34" t="s">
        <v>37</v>
      </c>
      <c r="E47" s="38">
        <f>F47+G47</f>
        <v>77000</v>
      </c>
      <c r="F47" s="31">
        <f>35000+62000-20000</f>
        <v>77000</v>
      </c>
      <c r="G47" s="31">
        <v>0</v>
      </c>
      <c r="H47" s="32" t="s">
        <v>139</v>
      </c>
      <c r="I47" s="28">
        <v>0</v>
      </c>
      <c r="J47" s="33" t="s">
        <v>186</v>
      </c>
    </row>
    <row r="48" spans="1:10" s="43" customFormat="1" ht="54.75" customHeight="1">
      <c r="A48" s="87" t="s">
        <v>29</v>
      </c>
      <c r="B48" s="87"/>
      <c r="C48" s="87"/>
      <c r="D48" s="87"/>
      <c r="E48" s="45">
        <f>F48+G48</f>
        <v>77000</v>
      </c>
      <c r="F48" s="35">
        <f>F47</f>
        <v>77000</v>
      </c>
      <c r="G48" s="35">
        <f>G47</f>
        <v>0</v>
      </c>
      <c r="H48" s="42" t="s">
        <v>39</v>
      </c>
      <c r="I48" s="39">
        <v>0</v>
      </c>
      <c r="J48" s="36" t="s">
        <v>188</v>
      </c>
    </row>
    <row r="49" spans="1:10" s="43" customFormat="1" ht="66.75" customHeight="1">
      <c r="A49" s="87" t="s">
        <v>148</v>
      </c>
      <c r="B49" s="87"/>
      <c r="C49" s="87"/>
      <c r="D49" s="87"/>
      <c r="E49" s="45">
        <f>F49+G49+I49+629+25000+30000+3000</f>
        <v>2243088</v>
      </c>
      <c r="F49" s="35">
        <f>F48+F46+F33+F29+F27+F43+F37+F15+F41+F39+F35</f>
        <v>842688</v>
      </c>
      <c r="G49" s="35">
        <f>G48+G46+G33+G29+G27+G43+G37+G15+G41+G39</f>
        <v>1329900</v>
      </c>
      <c r="H49" s="42" t="s">
        <v>22</v>
      </c>
      <c r="I49" s="35">
        <f>I43</f>
        <v>11871</v>
      </c>
      <c r="J49" s="39" t="s">
        <v>188</v>
      </c>
    </row>
    <row r="50" ht="12.75">
      <c r="E50" s="27"/>
    </row>
    <row r="51" spans="5:10" ht="12.75">
      <c r="E51" s="27"/>
      <c r="F51" s="27"/>
      <c r="G51" s="27"/>
      <c r="J51" s="1" t="s">
        <v>208</v>
      </c>
    </row>
    <row r="52" spans="5:10" ht="12.75">
      <c r="E52" s="27"/>
      <c r="F52" s="27"/>
      <c r="J52" s="1" t="s">
        <v>209</v>
      </c>
    </row>
    <row r="53" spans="5:7" ht="12.75">
      <c r="E53" s="27"/>
      <c r="G53" s="27"/>
    </row>
    <row r="54" spans="5:10" ht="12.75">
      <c r="E54" s="27"/>
      <c r="J54" s="1" t="s">
        <v>210</v>
      </c>
    </row>
    <row r="55" ht="12.75">
      <c r="F55" s="27"/>
    </row>
    <row r="56" spans="5:7" ht="12.75">
      <c r="E56" s="27"/>
      <c r="F56" s="27"/>
      <c r="G56" s="27"/>
    </row>
    <row r="58" ht="12.75">
      <c r="G58" s="27"/>
    </row>
  </sheetData>
  <sheetProtection/>
  <mergeCells count="26">
    <mergeCell ref="H1:J5"/>
    <mergeCell ref="F10:F12"/>
    <mergeCell ref="G10:G12"/>
    <mergeCell ref="H10:H12"/>
    <mergeCell ref="I10:I12"/>
    <mergeCell ref="A49:D49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A48:D48"/>
    <mergeCell ref="A27:D27"/>
    <mergeCell ref="A33:D33"/>
    <mergeCell ref="A46:D46"/>
    <mergeCell ref="A29:D29"/>
    <mergeCell ref="A43:D43"/>
    <mergeCell ref="A15:D15"/>
    <mergeCell ref="A37:D37"/>
    <mergeCell ref="A39:D39"/>
    <mergeCell ref="A41:D41"/>
    <mergeCell ref="A35:D35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defaultGridColor="0" zoomScalePageLayoutView="0" colorId="8" workbookViewId="0" topLeftCell="A37">
      <selection activeCell="E51" sqref="E51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  <col min="11" max="11" width="13.00390625" style="0" customWidth="1"/>
  </cols>
  <sheetData>
    <row r="1" spans="7:10" ht="12.75" customHeight="1">
      <c r="G1" s="105" t="s">
        <v>85</v>
      </c>
      <c r="H1" s="105"/>
      <c r="I1" s="105"/>
      <c r="J1" s="105"/>
    </row>
    <row r="2" spans="7:10" ht="12.75">
      <c r="G2" s="105"/>
      <c r="H2" s="105"/>
      <c r="I2" s="105"/>
      <c r="J2" s="105"/>
    </row>
    <row r="3" spans="7:10" ht="12.75">
      <c r="G3" s="105"/>
      <c r="H3" s="105"/>
      <c r="I3" s="105"/>
      <c r="J3" s="105"/>
    </row>
    <row r="4" spans="7:10" ht="12.75">
      <c r="G4" s="105"/>
      <c r="H4" s="105"/>
      <c r="I4" s="105"/>
      <c r="J4" s="105"/>
    </row>
    <row r="6" spans="1:10" ht="48.75" customHeight="1">
      <c r="A6" s="106" t="s">
        <v>66</v>
      </c>
      <c r="B6" s="106"/>
      <c r="C6" s="106"/>
      <c r="D6" s="106"/>
      <c r="E6" s="106"/>
      <c r="F6" s="106"/>
      <c r="G6" s="106"/>
      <c r="H6" s="106"/>
      <c r="I6" s="106"/>
      <c r="J6" s="106"/>
    </row>
    <row r="7" ht="12.75">
      <c r="J7" s="3" t="s">
        <v>135</v>
      </c>
    </row>
    <row r="8" spans="1:11" s="2" customFormat="1" ht="20.25" customHeight="1">
      <c r="A8" s="100" t="s">
        <v>125</v>
      </c>
      <c r="B8" s="100" t="s">
        <v>126</v>
      </c>
      <c r="C8" s="100" t="s">
        <v>130</v>
      </c>
      <c r="D8" s="100" t="s">
        <v>62</v>
      </c>
      <c r="E8" s="100" t="s">
        <v>127</v>
      </c>
      <c r="F8" s="100"/>
      <c r="G8" s="100"/>
      <c r="H8" s="100"/>
      <c r="I8" s="100"/>
      <c r="J8" s="100"/>
      <c r="K8" s="100"/>
    </row>
    <row r="9" spans="1:11" s="2" customFormat="1" ht="20.25" customHeight="1">
      <c r="A9" s="100"/>
      <c r="B9" s="100"/>
      <c r="C9" s="100"/>
      <c r="D9" s="100"/>
      <c r="E9" s="100" t="s">
        <v>132</v>
      </c>
      <c r="F9" s="100" t="s">
        <v>141</v>
      </c>
      <c r="G9" s="100"/>
      <c r="H9" s="100"/>
      <c r="I9" s="100"/>
      <c r="J9" s="100"/>
      <c r="K9" s="100" t="s">
        <v>133</v>
      </c>
    </row>
    <row r="10" spans="1:11" s="2" customFormat="1" ht="65.25" customHeight="1">
      <c r="A10" s="100"/>
      <c r="B10" s="100"/>
      <c r="C10" s="100"/>
      <c r="D10" s="100"/>
      <c r="E10" s="100"/>
      <c r="F10" s="9" t="s">
        <v>14</v>
      </c>
      <c r="G10" s="9" t="s">
        <v>142</v>
      </c>
      <c r="H10" s="9" t="s">
        <v>143</v>
      </c>
      <c r="I10" s="9" t="s">
        <v>144</v>
      </c>
      <c r="J10" s="9" t="s">
        <v>15</v>
      </c>
      <c r="K10" s="100"/>
    </row>
    <row r="11" spans="1:11" ht="9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</row>
    <row r="12" spans="1:11" s="68" customFormat="1" ht="19.5" customHeight="1">
      <c r="A12" s="70" t="s">
        <v>173</v>
      </c>
      <c r="B12" s="70" t="s">
        <v>179</v>
      </c>
      <c r="C12" s="71">
        <v>2010</v>
      </c>
      <c r="D12" s="48">
        <v>217739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</row>
    <row r="13" spans="1:11" s="68" customFormat="1" ht="19.5" customHeight="1">
      <c r="A13" s="70" t="s">
        <v>173</v>
      </c>
      <c r="B13" s="70" t="s">
        <v>179</v>
      </c>
      <c r="C13" s="71">
        <v>4010</v>
      </c>
      <c r="D13" s="69">
        <v>0</v>
      </c>
      <c r="E13" s="48">
        <v>3631</v>
      </c>
      <c r="F13" s="48">
        <f>E13</f>
        <v>3631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</row>
    <row r="14" spans="1:11" s="68" customFormat="1" ht="19.5" customHeight="1">
      <c r="A14" s="70" t="s">
        <v>173</v>
      </c>
      <c r="B14" s="70" t="s">
        <v>179</v>
      </c>
      <c r="C14" s="71">
        <v>4110</v>
      </c>
      <c r="D14" s="69">
        <v>0</v>
      </c>
      <c r="E14" s="48">
        <v>549</v>
      </c>
      <c r="F14" s="48">
        <f>E14</f>
        <v>549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</row>
    <row r="15" spans="1:11" s="68" customFormat="1" ht="19.5" customHeight="1">
      <c r="A15" s="70" t="s">
        <v>173</v>
      </c>
      <c r="B15" s="70" t="s">
        <v>179</v>
      </c>
      <c r="C15" s="71">
        <v>4120</v>
      </c>
      <c r="D15" s="69">
        <v>0</v>
      </c>
      <c r="E15" s="48">
        <v>89</v>
      </c>
      <c r="F15" s="48">
        <f>E15</f>
        <v>89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1" s="68" customFormat="1" ht="19.5" customHeight="1">
      <c r="A16" s="70" t="s">
        <v>173</v>
      </c>
      <c r="B16" s="70" t="s">
        <v>179</v>
      </c>
      <c r="C16" s="71">
        <v>4430</v>
      </c>
      <c r="D16" s="69">
        <v>0</v>
      </c>
      <c r="E16" s="48">
        <v>213470</v>
      </c>
      <c r="F16" s="23">
        <v>0</v>
      </c>
      <c r="G16" s="23">
        <v>0</v>
      </c>
      <c r="H16" s="23">
        <v>0</v>
      </c>
      <c r="I16" s="23">
        <v>0</v>
      </c>
      <c r="J16" s="48">
        <f>E16</f>
        <v>213470</v>
      </c>
      <c r="K16" s="23">
        <v>0</v>
      </c>
    </row>
    <row r="17" spans="1:11" s="10" customFormat="1" ht="19.5" customHeight="1">
      <c r="A17" s="102" t="s">
        <v>187</v>
      </c>
      <c r="B17" s="103"/>
      <c r="C17" s="104"/>
      <c r="D17" s="46">
        <f>D16+D15+D14+D13+D12</f>
        <v>217739</v>
      </c>
      <c r="E17" s="46">
        <f aca="true" t="shared" si="0" ref="E17:K17">E16+E15+E14+E13+E12</f>
        <v>217739</v>
      </c>
      <c r="F17" s="46">
        <f t="shared" si="0"/>
        <v>4269</v>
      </c>
      <c r="G17" s="46">
        <f t="shared" si="0"/>
        <v>0</v>
      </c>
      <c r="H17" s="46">
        <f t="shared" si="0"/>
        <v>0</v>
      </c>
      <c r="I17" s="46">
        <f t="shared" si="0"/>
        <v>0</v>
      </c>
      <c r="J17" s="46">
        <f t="shared" si="0"/>
        <v>213470</v>
      </c>
      <c r="K17" s="46">
        <f t="shared" si="0"/>
        <v>0</v>
      </c>
    </row>
    <row r="18" spans="1:11" ht="19.5" customHeight="1">
      <c r="A18" s="6">
        <v>750</v>
      </c>
      <c r="B18" s="6">
        <v>75011</v>
      </c>
      <c r="C18" s="6">
        <v>2010</v>
      </c>
      <c r="D18" s="61">
        <v>123428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22">
        <v>0</v>
      </c>
    </row>
    <row r="19" spans="1:11" ht="19.5" customHeight="1">
      <c r="A19" s="6">
        <v>750</v>
      </c>
      <c r="B19" s="6">
        <v>75011</v>
      </c>
      <c r="C19" s="6">
        <v>4010</v>
      </c>
      <c r="D19" s="61">
        <v>0</v>
      </c>
      <c r="E19" s="61">
        <v>105000</v>
      </c>
      <c r="F19" s="61">
        <f>E19</f>
        <v>105000</v>
      </c>
      <c r="G19" s="61">
        <v>0</v>
      </c>
      <c r="H19" s="61">
        <v>0</v>
      </c>
      <c r="I19" s="61">
        <v>0</v>
      </c>
      <c r="J19" s="61">
        <v>0</v>
      </c>
      <c r="K19" s="22">
        <v>0</v>
      </c>
    </row>
    <row r="20" spans="1:11" ht="19.5" customHeight="1">
      <c r="A20" s="6">
        <v>750</v>
      </c>
      <c r="B20" s="6">
        <v>75011</v>
      </c>
      <c r="C20" s="6">
        <v>4110</v>
      </c>
      <c r="D20" s="61">
        <v>0</v>
      </c>
      <c r="E20" s="61">
        <v>15855</v>
      </c>
      <c r="F20" s="61">
        <f>E20</f>
        <v>15855</v>
      </c>
      <c r="G20" s="61">
        <v>0</v>
      </c>
      <c r="H20" s="61">
        <v>0</v>
      </c>
      <c r="I20" s="61">
        <v>0</v>
      </c>
      <c r="J20" s="61">
        <v>0</v>
      </c>
      <c r="K20" s="22">
        <v>0</v>
      </c>
    </row>
    <row r="21" spans="1:11" ht="19.5" customHeight="1">
      <c r="A21" s="6">
        <v>750</v>
      </c>
      <c r="B21" s="6">
        <v>75011</v>
      </c>
      <c r="C21" s="6">
        <v>4120</v>
      </c>
      <c r="D21" s="61">
        <v>0</v>
      </c>
      <c r="E21" s="61">
        <v>2573</v>
      </c>
      <c r="F21" s="61">
        <f>E21</f>
        <v>2573</v>
      </c>
      <c r="G21" s="61">
        <v>0</v>
      </c>
      <c r="H21" s="61">
        <v>0</v>
      </c>
      <c r="I21" s="61">
        <v>0</v>
      </c>
      <c r="J21" s="61">
        <v>0</v>
      </c>
      <c r="K21" s="22">
        <v>0</v>
      </c>
    </row>
    <row r="22" spans="1:11" s="10" customFormat="1" ht="19.5" customHeight="1">
      <c r="A22" s="101" t="s">
        <v>199</v>
      </c>
      <c r="B22" s="101"/>
      <c r="C22" s="101"/>
      <c r="D22" s="46">
        <f>D21+D20+D19+D18</f>
        <v>123428</v>
      </c>
      <c r="E22" s="46">
        <f aca="true" t="shared" si="1" ref="E22:K22">E21+E20+E19+E18</f>
        <v>123428</v>
      </c>
      <c r="F22" s="46">
        <f t="shared" si="1"/>
        <v>123428</v>
      </c>
      <c r="G22" s="46">
        <f t="shared" si="1"/>
        <v>0</v>
      </c>
      <c r="H22" s="46">
        <f t="shared" si="1"/>
        <v>0</v>
      </c>
      <c r="I22" s="46">
        <f t="shared" si="1"/>
        <v>0</v>
      </c>
      <c r="J22" s="46">
        <f t="shared" si="1"/>
        <v>0</v>
      </c>
      <c r="K22" s="46">
        <f t="shared" si="1"/>
        <v>0</v>
      </c>
    </row>
    <row r="23" spans="1:11" ht="19.5" customHeight="1">
      <c r="A23" s="6">
        <v>751</v>
      </c>
      <c r="B23" s="6">
        <v>75101</v>
      </c>
      <c r="C23" s="6">
        <v>2010</v>
      </c>
      <c r="D23" s="61">
        <v>3813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22">
        <v>0</v>
      </c>
    </row>
    <row r="24" spans="1:11" ht="19.5" customHeight="1">
      <c r="A24" s="6">
        <v>751</v>
      </c>
      <c r="B24" s="6">
        <v>75101</v>
      </c>
      <c r="C24" s="6">
        <v>4010</v>
      </c>
      <c r="D24" s="61">
        <v>0</v>
      </c>
      <c r="E24" s="61">
        <v>3243</v>
      </c>
      <c r="F24" s="61">
        <f>E24</f>
        <v>3243</v>
      </c>
      <c r="G24" s="61">
        <v>0</v>
      </c>
      <c r="H24" s="61">
        <v>0</v>
      </c>
      <c r="I24" s="61">
        <v>0</v>
      </c>
      <c r="J24" s="61">
        <v>0</v>
      </c>
      <c r="K24" s="22">
        <v>0</v>
      </c>
    </row>
    <row r="25" spans="1:11" ht="19.5" customHeight="1">
      <c r="A25" s="6">
        <v>751</v>
      </c>
      <c r="B25" s="6">
        <v>75101</v>
      </c>
      <c r="C25" s="6">
        <v>4110</v>
      </c>
      <c r="D25" s="61">
        <v>0</v>
      </c>
      <c r="E25" s="61">
        <v>490</v>
      </c>
      <c r="F25" s="61">
        <f>E25</f>
        <v>490</v>
      </c>
      <c r="G25" s="61">
        <v>0</v>
      </c>
      <c r="H25" s="61">
        <v>0</v>
      </c>
      <c r="I25" s="61">
        <v>0</v>
      </c>
      <c r="J25" s="61">
        <v>0</v>
      </c>
      <c r="K25" s="22">
        <v>0</v>
      </c>
    </row>
    <row r="26" spans="1:11" ht="19.5" customHeight="1">
      <c r="A26" s="6">
        <v>751</v>
      </c>
      <c r="B26" s="6">
        <v>75101</v>
      </c>
      <c r="C26" s="6">
        <v>4120</v>
      </c>
      <c r="D26" s="61">
        <v>0</v>
      </c>
      <c r="E26" s="61">
        <v>80</v>
      </c>
      <c r="F26" s="61">
        <f>E26</f>
        <v>80</v>
      </c>
      <c r="G26" s="61">
        <v>0</v>
      </c>
      <c r="H26" s="61">
        <v>0</v>
      </c>
      <c r="I26" s="61">
        <v>0</v>
      </c>
      <c r="J26" s="61">
        <v>0</v>
      </c>
      <c r="K26" s="22">
        <v>0</v>
      </c>
    </row>
    <row r="27" spans="1:11" ht="19.5" customHeight="1">
      <c r="A27" s="6">
        <v>751</v>
      </c>
      <c r="B27" s="6">
        <v>75113</v>
      </c>
      <c r="C27" s="6">
        <v>2010</v>
      </c>
      <c r="D27" s="61">
        <f>17980+24120-675</f>
        <v>41425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22">
        <v>0</v>
      </c>
    </row>
    <row r="28" spans="1:11" ht="19.5" customHeight="1">
      <c r="A28" s="6">
        <v>751</v>
      </c>
      <c r="B28" s="6">
        <v>75113</v>
      </c>
      <c r="C28" s="6">
        <v>3030</v>
      </c>
      <c r="D28" s="61">
        <v>0</v>
      </c>
      <c r="E28" s="61">
        <f>24120-675</f>
        <v>23445</v>
      </c>
      <c r="F28" s="61">
        <v>0</v>
      </c>
      <c r="G28" s="61">
        <v>0</v>
      </c>
      <c r="H28" s="61">
        <v>0</v>
      </c>
      <c r="I28" s="61">
        <v>0</v>
      </c>
      <c r="J28" s="61">
        <f>E28</f>
        <v>23445</v>
      </c>
      <c r="K28" s="22">
        <v>0</v>
      </c>
    </row>
    <row r="29" spans="1:11" ht="19.5" customHeight="1">
      <c r="A29" s="6">
        <v>751</v>
      </c>
      <c r="B29" s="6">
        <v>75113</v>
      </c>
      <c r="C29" s="6">
        <v>4110</v>
      </c>
      <c r="D29" s="61">
        <v>0</v>
      </c>
      <c r="E29" s="61">
        <f>462+398-33+300</f>
        <v>1127</v>
      </c>
      <c r="F29" s="61">
        <f>E29</f>
        <v>1127</v>
      </c>
      <c r="G29" s="61">
        <v>0</v>
      </c>
      <c r="H29" s="61">
        <v>0</v>
      </c>
      <c r="I29" s="61">
        <v>0</v>
      </c>
      <c r="J29" s="61">
        <v>0</v>
      </c>
      <c r="K29" s="22">
        <v>0</v>
      </c>
    </row>
    <row r="30" spans="1:11" ht="19.5" customHeight="1">
      <c r="A30" s="6">
        <v>751</v>
      </c>
      <c r="B30" s="6">
        <v>75113</v>
      </c>
      <c r="C30" s="6">
        <v>4120</v>
      </c>
      <c r="D30" s="61">
        <v>0</v>
      </c>
      <c r="E30" s="61">
        <f>68+65+2+48</f>
        <v>183</v>
      </c>
      <c r="F30" s="61">
        <f>E30</f>
        <v>183</v>
      </c>
      <c r="G30" s="61">
        <v>0</v>
      </c>
      <c r="H30" s="61">
        <v>0</v>
      </c>
      <c r="I30" s="61">
        <v>0</v>
      </c>
      <c r="J30" s="61">
        <v>0</v>
      </c>
      <c r="K30" s="22">
        <v>0</v>
      </c>
    </row>
    <row r="31" spans="1:11" ht="19.5" customHeight="1">
      <c r="A31" s="6">
        <v>751</v>
      </c>
      <c r="B31" s="6">
        <v>75113</v>
      </c>
      <c r="C31" s="6">
        <v>4170</v>
      </c>
      <c r="D31" s="61">
        <v>0</v>
      </c>
      <c r="E31" s="61">
        <f>5390+1920</f>
        <v>7310</v>
      </c>
      <c r="F31" s="61">
        <f>E31</f>
        <v>7310</v>
      </c>
      <c r="G31" s="61">
        <v>0</v>
      </c>
      <c r="H31" s="61">
        <v>0</v>
      </c>
      <c r="I31" s="61">
        <v>0</v>
      </c>
      <c r="J31" s="61">
        <v>0</v>
      </c>
      <c r="K31" s="22">
        <v>0</v>
      </c>
    </row>
    <row r="32" spans="1:11" ht="19.5" customHeight="1">
      <c r="A32" s="6">
        <v>751</v>
      </c>
      <c r="B32" s="6">
        <v>75113</v>
      </c>
      <c r="C32" s="6">
        <v>4210</v>
      </c>
      <c r="D32" s="61">
        <v>0</v>
      </c>
      <c r="E32" s="61">
        <f>9000-463-2955</f>
        <v>5582</v>
      </c>
      <c r="F32" s="61">
        <v>0</v>
      </c>
      <c r="G32" s="61">
        <v>0</v>
      </c>
      <c r="H32" s="61">
        <v>0</v>
      </c>
      <c r="I32" s="61">
        <v>0</v>
      </c>
      <c r="J32" s="61">
        <f>E32</f>
        <v>5582</v>
      </c>
      <c r="K32" s="22">
        <v>0</v>
      </c>
    </row>
    <row r="33" spans="1:11" ht="19.5" customHeight="1">
      <c r="A33" s="6">
        <v>751</v>
      </c>
      <c r="B33" s="6">
        <v>75113</v>
      </c>
      <c r="C33" s="6">
        <v>4300</v>
      </c>
      <c r="D33" s="61">
        <v>0</v>
      </c>
      <c r="E33" s="61">
        <f>5358-5168+3200-3200</f>
        <v>190</v>
      </c>
      <c r="F33" s="61">
        <v>0</v>
      </c>
      <c r="G33" s="61">
        <v>0</v>
      </c>
      <c r="H33" s="61">
        <v>0</v>
      </c>
      <c r="I33" s="61">
        <v>0</v>
      </c>
      <c r="J33" s="61">
        <f>E33</f>
        <v>190</v>
      </c>
      <c r="K33" s="22">
        <v>0</v>
      </c>
    </row>
    <row r="34" spans="1:11" ht="19.5" customHeight="1">
      <c r="A34" s="6">
        <v>751</v>
      </c>
      <c r="B34" s="6">
        <v>75113</v>
      </c>
      <c r="C34" s="6">
        <v>4740</v>
      </c>
      <c r="D34" s="61">
        <v>0</v>
      </c>
      <c r="E34" s="61">
        <f>193+2200</f>
        <v>2393</v>
      </c>
      <c r="F34" s="61">
        <v>0</v>
      </c>
      <c r="G34" s="61">
        <v>0</v>
      </c>
      <c r="H34" s="61">
        <v>0</v>
      </c>
      <c r="I34" s="61">
        <v>0</v>
      </c>
      <c r="J34" s="61">
        <f>E34</f>
        <v>2393</v>
      </c>
      <c r="K34" s="22">
        <v>0</v>
      </c>
    </row>
    <row r="35" spans="1:11" ht="19.5" customHeight="1">
      <c r="A35" s="6">
        <v>751</v>
      </c>
      <c r="B35" s="6">
        <v>75113</v>
      </c>
      <c r="C35" s="6">
        <v>4750</v>
      </c>
      <c r="D35" s="61">
        <v>0</v>
      </c>
      <c r="E35" s="61">
        <f>195+1000</f>
        <v>1195</v>
      </c>
      <c r="F35" s="61">
        <v>0</v>
      </c>
      <c r="G35" s="61">
        <v>0</v>
      </c>
      <c r="H35" s="61">
        <v>0</v>
      </c>
      <c r="I35" s="61">
        <v>0</v>
      </c>
      <c r="J35" s="61">
        <f>E35</f>
        <v>1195</v>
      </c>
      <c r="K35" s="22">
        <v>0</v>
      </c>
    </row>
    <row r="36" spans="1:12" s="10" customFormat="1" ht="19.5" customHeight="1">
      <c r="A36" s="101" t="s">
        <v>6</v>
      </c>
      <c r="B36" s="101"/>
      <c r="C36" s="101"/>
      <c r="D36" s="46">
        <f>D26+D25+D24+D23+D27+D29+D30+D32+D33</f>
        <v>45238</v>
      </c>
      <c r="E36" s="46">
        <f>E26+E25+E24+E23+E27+E29+E30+E32+E33+E28+E31+E34+E35</f>
        <v>45238</v>
      </c>
      <c r="F36" s="46">
        <f aca="true" t="shared" si="2" ref="F36:K36">F26+F25+F24+F23+F27+F29+F30+F32+F33+F28+F31+F34+F35</f>
        <v>12433</v>
      </c>
      <c r="G36" s="46">
        <f t="shared" si="2"/>
        <v>0</v>
      </c>
      <c r="H36" s="46">
        <f t="shared" si="2"/>
        <v>0</v>
      </c>
      <c r="I36" s="46">
        <f t="shared" si="2"/>
        <v>0</v>
      </c>
      <c r="J36" s="46">
        <f t="shared" si="2"/>
        <v>32805</v>
      </c>
      <c r="K36" s="46">
        <f t="shared" si="2"/>
        <v>0</v>
      </c>
      <c r="L36" s="72"/>
    </row>
    <row r="37" spans="1:11" ht="19.5" customHeight="1">
      <c r="A37" s="6">
        <v>852</v>
      </c>
      <c r="B37" s="6">
        <v>85212</v>
      </c>
      <c r="C37" s="6">
        <v>2010</v>
      </c>
      <c r="D37" s="61">
        <f>7637329-656611-871692+433183</f>
        <v>6542209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22">
        <v>0</v>
      </c>
    </row>
    <row r="38" spans="1:11" ht="19.5" customHeight="1">
      <c r="A38" s="6">
        <v>852</v>
      </c>
      <c r="B38" s="6">
        <v>85212</v>
      </c>
      <c r="C38" s="6">
        <v>3110</v>
      </c>
      <c r="D38" s="61">
        <v>0</v>
      </c>
      <c r="E38" s="61">
        <f>7382729-636913-848790+425254</f>
        <v>6322280</v>
      </c>
      <c r="F38" s="61">
        <v>0</v>
      </c>
      <c r="G38" s="61">
        <v>0</v>
      </c>
      <c r="H38" s="61">
        <v>0</v>
      </c>
      <c r="I38" s="61">
        <v>0</v>
      </c>
      <c r="J38" s="61">
        <f>E38</f>
        <v>6322280</v>
      </c>
      <c r="K38" s="22">
        <v>0</v>
      </c>
    </row>
    <row r="39" spans="1:11" ht="19.5" customHeight="1">
      <c r="A39" s="6">
        <v>852</v>
      </c>
      <c r="B39" s="6">
        <v>85212</v>
      </c>
      <c r="C39" s="6">
        <v>4010</v>
      </c>
      <c r="D39" s="61">
        <v>0</v>
      </c>
      <c r="E39" s="61">
        <f>146875-7049-15398+5925</f>
        <v>130353</v>
      </c>
      <c r="F39" s="61">
        <f>E39</f>
        <v>130353</v>
      </c>
      <c r="G39" s="61">
        <v>0</v>
      </c>
      <c r="H39" s="61">
        <v>0</v>
      </c>
      <c r="I39" s="61">
        <v>0</v>
      </c>
      <c r="J39" s="61">
        <v>0</v>
      </c>
      <c r="K39" s="22">
        <v>0</v>
      </c>
    </row>
    <row r="40" spans="1:11" ht="19.5" customHeight="1">
      <c r="A40" s="6">
        <v>852</v>
      </c>
      <c r="B40" s="6">
        <v>85212</v>
      </c>
      <c r="C40" s="6">
        <v>4040</v>
      </c>
      <c r="D40" s="61">
        <v>0</v>
      </c>
      <c r="E40" s="61">
        <f>7663-53</f>
        <v>7610</v>
      </c>
      <c r="F40" s="61">
        <f>E40</f>
        <v>7610</v>
      </c>
      <c r="G40" s="61">
        <v>0</v>
      </c>
      <c r="H40" s="61">
        <v>0</v>
      </c>
      <c r="I40" s="61">
        <v>0</v>
      </c>
      <c r="J40" s="61">
        <v>0</v>
      </c>
      <c r="K40" s="22">
        <v>0</v>
      </c>
    </row>
    <row r="41" spans="1:11" ht="19.5" customHeight="1">
      <c r="A41" s="6">
        <v>852</v>
      </c>
      <c r="B41" s="6">
        <v>85212</v>
      </c>
      <c r="C41" s="6">
        <v>4110</v>
      </c>
      <c r="D41" s="61">
        <v>0</v>
      </c>
      <c r="E41" s="61">
        <f>56015-6900+1859</f>
        <v>50974</v>
      </c>
      <c r="F41" s="61">
        <f>E41</f>
        <v>50974</v>
      </c>
      <c r="G41" s="61">
        <v>0</v>
      </c>
      <c r="H41" s="61">
        <v>0</v>
      </c>
      <c r="I41" s="61">
        <v>0</v>
      </c>
      <c r="J41" s="61">
        <v>0</v>
      </c>
      <c r="K41" s="22">
        <v>0</v>
      </c>
    </row>
    <row r="42" spans="1:11" ht="19.5" customHeight="1">
      <c r="A42" s="6">
        <v>852</v>
      </c>
      <c r="B42" s="6">
        <v>85212</v>
      </c>
      <c r="C42" s="6">
        <v>4120</v>
      </c>
      <c r="D42" s="61">
        <v>0</v>
      </c>
      <c r="E42" s="61">
        <f>3787-551+145</f>
        <v>3381</v>
      </c>
      <c r="F42" s="61">
        <f>E42</f>
        <v>3381</v>
      </c>
      <c r="G42" s="61">
        <v>0</v>
      </c>
      <c r="H42" s="61">
        <v>0</v>
      </c>
      <c r="I42" s="61">
        <v>0</v>
      </c>
      <c r="J42" s="61">
        <v>0</v>
      </c>
      <c r="K42" s="22">
        <v>0</v>
      </c>
    </row>
    <row r="43" spans="1:11" ht="19.5" customHeight="1">
      <c r="A43" s="6">
        <v>852</v>
      </c>
      <c r="B43" s="6">
        <v>85212</v>
      </c>
      <c r="C43" s="6">
        <v>4170</v>
      </c>
      <c r="D43" s="61">
        <v>0</v>
      </c>
      <c r="E43" s="61">
        <v>2400</v>
      </c>
      <c r="F43" s="61">
        <v>2400</v>
      </c>
      <c r="G43" s="61">
        <v>0</v>
      </c>
      <c r="H43" s="61">
        <v>0</v>
      </c>
      <c r="I43" s="61">
        <v>0</v>
      </c>
      <c r="J43" s="61">
        <v>0</v>
      </c>
      <c r="K43" s="22">
        <v>0</v>
      </c>
    </row>
    <row r="44" spans="1:11" ht="19.5" customHeight="1">
      <c r="A44" s="6">
        <v>852</v>
      </c>
      <c r="B44" s="6">
        <v>85212</v>
      </c>
      <c r="C44" s="6">
        <v>4210</v>
      </c>
      <c r="D44" s="61">
        <v>0</v>
      </c>
      <c r="E44" s="61">
        <f>5500-2000</f>
        <v>3500</v>
      </c>
      <c r="F44" s="61">
        <v>0</v>
      </c>
      <c r="G44" s="61">
        <v>0</v>
      </c>
      <c r="H44" s="61">
        <v>0</v>
      </c>
      <c r="I44" s="61">
        <v>0</v>
      </c>
      <c r="J44" s="61">
        <f aca="true" t="shared" si="3" ref="J44:J50">E44</f>
        <v>3500</v>
      </c>
      <c r="K44" s="22">
        <v>0</v>
      </c>
    </row>
    <row r="45" spans="1:11" ht="19.5" customHeight="1">
      <c r="A45" s="6">
        <v>852</v>
      </c>
      <c r="B45" s="6">
        <v>85212</v>
      </c>
      <c r="C45" s="6">
        <v>4300</v>
      </c>
      <c r="D45" s="61">
        <v>0</v>
      </c>
      <c r="E45" s="61">
        <f>18080-4000</f>
        <v>14080</v>
      </c>
      <c r="F45" s="61">
        <v>0</v>
      </c>
      <c r="G45" s="61">
        <v>0</v>
      </c>
      <c r="H45" s="61">
        <v>0</v>
      </c>
      <c r="I45" s="61">
        <v>0</v>
      </c>
      <c r="J45" s="61">
        <f t="shared" si="3"/>
        <v>14080</v>
      </c>
      <c r="K45" s="22">
        <v>0</v>
      </c>
    </row>
    <row r="46" spans="1:11" ht="19.5" customHeight="1">
      <c r="A46" s="6">
        <v>852</v>
      </c>
      <c r="B46" s="6">
        <v>85212</v>
      </c>
      <c r="C46" s="6">
        <v>4370</v>
      </c>
      <c r="D46" s="61">
        <v>0</v>
      </c>
      <c r="E46" s="61">
        <f>6300-4225</f>
        <v>2075</v>
      </c>
      <c r="F46" s="61">
        <v>0</v>
      </c>
      <c r="G46" s="61">
        <v>0</v>
      </c>
      <c r="H46" s="61">
        <v>0</v>
      </c>
      <c r="I46" s="61">
        <v>0</v>
      </c>
      <c r="J46" s="61">
        <f t="shared" si="3"/>
        <v>2075</v>
      </c>
      <c r="K46" s="22">
        <v>0</v>
      </c>
    </row>
    <row r="47" spans="1:11" ht="19.5" customHeight="1">
      <c r="A47" s="6">
        <v>852</v>
      </c>
      <c r="B47" s="6">
        <v>85212</v>
      </c>
      <c r="C47" s="6">
        <v>4440</v>
      </c>
      <c r="D47" s="61">
        <v>0</v>
      </c>
      <c r="E47" s="61">
        <f>2850+150</f>
        <v>3000</v>
      </c>
      <c r="F47" s="61">
        <v>0</v>
      </c>
      <c r="G47" s="61">
        <v>0</v>
      </c>
      <c r="H47" s="61">
        <v>0</v>
      </c>
      <c r="I47" s="61">
        <v>0</v>
      </c>
      <c r="J47" s="61">
        <f t="shared" si="3"/>
        <v>3000</v>
      </c>
      <c r="K47" s="22">
        <v>0</v>
      </c>
    </row>
    <row r="48" spans="1:11" ht="19.5" customHeight="1">
      <c r="A48" s="6">
        <v>852</v>
      </c>
      <c r="B48" s="6">
        <v>85212</v>
      </c>
      <c r="C48" s="6">
        <v>4700</v>
      </c>
      <c r="D48" s="61">
        <v>0</v>
      </c>
      <c r="E48" s="61">
        <f>1300+300</f>
        <v>1600</v>
      </c>
      <c r="F48" s="61">
        <v>0</v>
      </c>
      <c r="G48" s="61">
        <v>0</v>
      </c>
      <c r="H48" s="61">
        <v>0</v>
      </c>
      <c r="I48" s="61">
        <v>0</v>
      </c>
      <c r="J48" s="61">
        <f t="shared" si="3"/>
        <v>1600</v>
      </c>
      <c r="K48" s="22">
        <v>0</v>
      </c>
    </row>
    <row r="49" spans="1:11" ht="19.5" customHeight="1">
      <c r="A49" s="6">
        <v>852</v>
      </c>
      <c r="B49" s="6">
        <v>85212</v>
      </c>
      <c r="C49" s="6">
        <v>4740</v>
      </c>
      <c r="D49" s="61">
        <v>0</v>
      </c>
      <c r="E49" s="61">
        <f>1800-450-1350</f>
        <v>0</v>
      </c>
      <c r="F49" s="61">
        <v>0</v>
      </c>
      <c r="G49" s="61">
        <v>0</v>
      </c>
      <c r="H49" s="61">
        <v>0</v>
      </c>
      <c r="I49" s="61">
        <v>0</v>
      </c>
      <c r="J49" s="61">
        <f t="shared" si="3"/>
        <v>0</v>
      </c>
      <c r="K49" s="22">
        <v>0</v>
      </c>
    </row>
    <row r="50" spans="1:11" ht="19.5" customHeight="1">
      <c r="A50" s="6">
        <v>852</v>
      </c>
      <c r="B50" s="6">
        <v>85212</v>
      </c>
      <c r="C50" s="6">
        <v>4750</v>
      </c>
      <c r="D50" s="61">
        <v>0</v>
      </c>
      <c r="E50" s="61">
        <f>2030-1074</f>
        <v>956</v>
      </c>
      <c r="F50" s="61">
        <v>0</v>
      </c>
      <c r="G50" s="61">
        <v>0</v>
      </c>
      <c r="H50" s="61">
        <v>0</v>
      </c>
      <c r="I50" s="61">
        <v>0</v>
      </c>
      <c r="J50" s="61">
        <f t="shared" si="3"/>
        <v>956</v>
      </c>
      <c r="K50" s="22">
        <v>0</v>
      </c>
    </row>
    <row r="51" spans="1:11" ht="19.5" customHeight="1">
      <c r="A51" s="6">
        <v>852</v>
      </c>
      <c r="B51" s="6">
        <v>85213</v>
      </c>
      <c r="C51" s="6">
        <v>2010</v>
      </c>
      <c r="D51" s="61">
        <f>44932-24582+3166</f>
        <v>23516</v>
      </c>
      <c r="E51" s="61">
        <v>0</v>
      </c>
      <c r="F51" s="61">
        <f>E51</f>
        <v>0</v>
      </c>
      <c r="G51" s="61">
        <v>0</v>
      </c>
      <c r="H51" s="61">
        <v>0</v>
      </c>
      <c r="I51" s="61">
        <v>0</v>
      </c>
      <c r="J51" s="61">
        <v>0</v>
      </c>
      <c r="K51" s="22">
        <v>0</v>
      </c>
    </row>
    <row r="52" spans="1:11" ht="19.5" customHeight="1">
      <c r="A52" s="6">
        <v>852</v>
      </c>
      <c r="B52" s="6">
        <v>85213</v>
      </c>
      <c r="C52" s="6">
        <v>4130</v>
      </c>
      <c r="D52" s="61">
        <v>0</v>
      </c>
      <c r="E52" s="61">
        <f>44932-24582+3166</f>
        <v>23516</v>
      </c>
      <c r="F52" s="61">
        <f>E52</f>
        <v>23516</v>
      </c>
      <c r="G52" s="61">
        <v>0</v>
      </c>
      <c r="H52" s="61">
        <v>0</v>
      </c>
      <c r="I52" s="61">
        <v>0</v>
      </c>
      <c r="J52" s="61">
        <v>0</v>
      </c>
      <c r="K52" s="22">
        <v>0</v>
      </c>
    </row>
    <row r="53" spans="1:11" ht="19.5" customHeight="1">
      <c r="A53" s="6">
        <v>852</v>
      </c>
      <c r="B53" s="6">
        <v>85214</v>
      </c>
      <c r="C53" s="6">
        <v>2010</v>
      </c>
      <c r="D53" s="61">
        <f>300725-105792-1769</f>
        <v>193164</v>
      </c>
      <c r="E53" s="61">
        <v>0</v>
      </c>
      <c r="F53" s="61">
        <f>E53</f>
        <v>0</v>
      </c>
      <c r="G53" s="61">
        <f>G54</f>
        <v>0</v>
      </c>
      <c r="H53" s="61">
        <f>H54</f>
        <v>0</v>
      </c>
      <c r="I53" s="61">
        <v>0</v>
      </c>
      <c r="J53" s="61">
        <v>0</v>
      </c>
      <c r="K53" s="22">
        <v>0</v>
      </c>
    </row>
    <row r="54" spans="1:11" ht="19.5" customHeight="1">
      <c r="A54" s="6">
        <v>852</v>
      </c>
      <c r="B54" s="6">
        <v>85214</v>
      </c>
      <c r="C54" s="6">
        <v>3110</v>
      </c>
      <c r="D54" s="61">
        <v>0</v>
      </c>
      <c r="E54" s="61">
        <f>300725-105792-1769</f>
        <v>193164</v>
      </c>
      <c r="F54" s="61">
        <v>0</v>
      </c>
      <c r="G54" s="61">
        <v>0</v>
      </c>
      <c r="H54" s="61">
        <v>0</v>
      </c>
      <c r="I54" s="61">
        <v>0</v>
      </c>
      <c r="J54" s="61">
        <f>E54</f>
        <v>193164</v>
      </c>
      <c r="K54" s="22">
        <v>0</v>
      </c>
    </row>
    <row r="55" spans="1:11" ht="19.5" customHeight="1">
      <c r="A55" s="6">
        <v>852</v>
      </c>
      <c r="B55" s="6">
        <v>85219</v>
      </c>
      <c r="C55" s="6">
        <v>2010</v>
      </c>
      <c r="D55" s="61">
        <v>10900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22">
        <v>0</v>
      </c>
    </row>
    <row r="56" spans="1:11" ht="19.5" customHeight="1">
      <c r="A56" s="6">
        <v>852</v>
      </c>
      <c r="B56" s="6">
        <v>85219</v>
      </c>
      <c r="C56" s="6">
        <v>3110</v>
      </c>
      <c r="D56" s="61">
        <v>0</v>
      </c>
      <c r="E56" s="61">
        <v>10900</v>
      </c>
      <c r="F56" s="61">
        <v>0</v>
      </c>
      <c r="G56" s="61">
        <v>0</v>
      </c>
      <c r="H56" s="61">
        <v>0</v>
      </c>
      <c r="I56" s="61">
        <v>0</v>
      </c>
      <c r="J56" s="61">
        <v>10900</v>
      </c>
      <c r="K56" s="22">
        <v>0</v>
      </c>
    </row>
    <row r="57" spans="1:11" ht="19.5" customHeight="1">
      <c r="A57" s="6">
        <v>852</v>
      </c>
      <c r="B57" s="6">
        <v>85228</v>
      </c>
      <c r="C57" s="6">
        <v>2010</v>
      </c>
      <c r="D57" s="61">
        <v>47586</v>
      </c>
      <c r="E57" s="61">
        <v>0</v>
      </c>
      <c r="F57" s="61">
        <f>E57</f>
        <v>0</v>
      </c>
      <c r="G57" s="61">
        <v>0</v>
      </c>
      <c r="H57" s="61">
        <v>0</v>
      </c>
      <c r="I57" s="61">
        <v>0</v>
      </c>
      <c r="J57" s="61">
        <v>0</v>
      </c>
      <c r="K57" s="22">
        <v>0</v>
      </c>
    </row>
    <row r="58" spans="1:11" ht="19.5" customHeight="1">
      <c r="A58" s="6">
        <v>852</v>
      </c>
      <c r="B58" s="6">
        <v>85228</v>
      </c>
      <c r="C58" s="6">
        <v>3020</v>
      </c>
      <c r="D58" s="61">
        <v>0</v>
      </c>
      <c r="E58" s="61">
        <f>245-100</f>
        <v>145</v>
      </c>
      <c r="F58" s="61">
        <v>0</v>
      </c>
      <c r="G58" s="61">
        <v>0</v>
      </c>
      <c r="H58" s="61">
        <v>0</v>
      </c>
      <c r="I58" s="61">
        <v>0</v>
      </c>
      <c r="J58" s="61">
        <f>E58</f>
        <v>145</v>
      </c>
      <c r="K58" s="22">
        <v>0</v>
      </c>
    </row>
    <row r="59" spans="1:11" ht="19.5" customHeight="1">
      <c r="A59" s="6">
        <v>852</v>
      </c>
      <c r="B59" s="6">
        <v>85228</v>
      </c>
      <c r="C59" s="6">
        <v>4010</v>
      </c>
      <c r="D59" s="61">
        <v>0</v>
      </c>
      <c r="E59" s="61">
        <v>35063</v>
      </c>
      <c r="F59" s="61">
        <v>35063</v>
      </c>
      <c r="G59" s="61">
        <v>0</v>
      </c>
      <c r="H59" s="61">
        <v>0</v>
      </c>
      <c r="I59" s="61">
        <v>0</v>
      </c>
      <c r="J59" s="61">
        <v>0</v>
      </c>
      <c r="K59" s="22">
        <v>0</v>
      </c>
    </row>
    <row r="60" spans="1:11" ht="19.5" customHeight="1">
      <c r="A60" s="6">
        <v>852</v>
      </c>
      <c r="B60" s="6">
        <v>85228</v>
      </c>
      <c r="C60" s="6">
        <v>4040</v>
      </c>
      <c r="D60" s="61">
        <v>0</v>
      </c>
      <c r="E60" s="61">
        <v>2502</v>
      </c>
      <c r="F60" s="61">
        <v>2502</v>
      </c>
      <c r="G60" s="61">
        <v>0</v>
      </c>
      <c r="H60" s="61">
        <v>0</v>
      </c>
      <c r="I60" s="61">
        <v>0</v>
      </c>
      <c r="J60" s="61">
        <v>0</v>
      </c>
      <c r="K60" s="22">
        <v>0</v>
      </c>
    </row>
    <row r="61" spans="1:11" ht="19.5" customHeight="1">
      <c r="A61" s="6">
        <v>852</v>
      </c>
      <c r="B61" s="6">
        <v>85228</v>
      </c>
      <c r="C61" s="6">
        <v>4110</v>
      </c>
      <c r="D61" s="61">
        <v>0</v>
      </c>
      <c r="E61" s="61">
        <v>5955</v>
      </c>
      <c r="F61" s="61">
        <v>5955</v>
      </c>
      <c r="G61" s="61">
        <v>0</v>
      </c>
      <c r="H61" s="61">
        <v>0</v>
      </c>
      <c r="I61" s="61">
        <v>0</v>
      </c>
      <c r="J61" s="61">
        <v>0</v>
      </c>
      <c r="K61" s="22">
        <v>0</v>
      </c>
    </row>
    <row r="62" spans="1:11" ht="19.5" customHeight="1">
      <c r="A62" s="6">
        <v>852</v>
      </c>
      <c r="B62" s="6">
        <v>85228</v>
      </c>
      <c r="C62" s="6">
        <v>4120</v>
      </c>
      <c r="D62" s="61">
        <v>0</v>
      </c>
      <c r="E62" s="61">
        <v>921</v>
      </c>
      <c r="F62" s="61">
        <v>921</v>
      </c>
      <c r="G62" s="61">
        <v>0</v>
      </c>
      <c r="H62" s="61">
        <v>0</v>
      </c>
      <c r="I62" s="61">
        <v>0</v>
      </c>
      <c r="J62" s="61">
        <v>0</v>
      </c>
      <c r="K62" s="22">
        <v>0</v>
      </c>
    </row>
    <row r="63" spans="1:11" ht="19.5" customHeight="1">
      <c r="A63" s="6">
        <v>852</v>
      </c>
      <c r="B63" s="6">
        <v>85228</v>
      </c>
      <c r="C63" s="6">
        <v>4170</v>
      </c>
      <c r="D63" s="61">
        <v>0</v>
      </c>
      <c r="E63" s="61">
        <v>1000</v>
      </c>
      <c r="F63" s="61">
        <v>1000</v>
      </c>
      <c r="G63" s="61">
        <v>0</v>
      </c>
      <c r="H63" s="61">
        <v>0</v>
      </c>
      <c r="I63" s="61">
        <v>0</v>
      </c>
      <c r="J63" s="61">
        <v>0</v>
      </c>
      <c r="K63" s="22">
        <v>0</v>
      </c>
    </row>
    <row r="64" spans="1:11" ht="19.5" customHeight="1">
      <c r="A64" s="6">
        <v>852</v>
      </c>
      <c r="B64" s="6">
        <v>85228</v>
      </c>
      <c r="C64" s="6">
        <v>4440</v>
      </c>
      <c r="D64" s="61">
        <v>0</v>
      </c>
      <c r="E64" s="61">
        <f>1900+100</f>
        <v>2000</v>
      </c>
      <c r="F64" s="61">
        <f>E64</f>
        <v>2000</v>
      </c>
      <c r="G64" s="61">
        <v>0</v>
      </c>
      <c r="H64" s="61">
        <v>0</v>
      </c>
      <c r="I64" s="61">
        <v>0</v>
      </c>
      <c r="J64" s="61">
        <v>0</v>
      </c>
      <c r="K64" s="22">
        <v>0</v>
      </c>
    </row>
    <row r="65" spans="1:11" s="10" customFormat="1" ht="19.5" customHeight="1">
      <c r="A65" s="101" t="s">
        <v>7</v>
      </c>
      <c r="B65" s="101"/>
      <c r="C65" s="101"/>
      <c r="D65" s="46">
        <f>D64+D63+D62+D61+D60+D59+D58+D57+D54+D53+D52+D51+D50+D49+D47+D46+D45+D44+D43+D42+D41+D40+D39+D38+D37+D48+D56+D55</f>
        <v>6817375</v>
      </c>
      <c r="E65" s="46">
        <f aca="true" t="shared" si="4" ref="E65:K65">E64+E63+E62+E61+E60+E59+E58+E57+E54+E53+E52+E51+E50+E49+E47+E46+E45+E44+E43+E42+E41+E40+E39+E38+E37+E48+E56+E55</f>
        <v>6817375</v>
      </c>
      <c r="F65" s="46">
        <f t="shared" si="4"/>
        <v>265675</v>
      </c>
      <c r="G65" s="46">
        <f t="shared" si="4"/>
        <v>0</v>
      </c>
      <c r="H65" s="46">
        <f t="shared" si="4"/>
        <v>0</v>
      </c>
      <c r="I65" s="46">
        <f t="shared" si="4"/>
        <v>0</v>
      </c>
      <c r="J65" s="46">
        <f t="shared" si="4"/>
        <v>6551700</v>
      </c>
      <c r="K65" s="46">
        <f t="shared" si="4"/>
        <v>0</v>
      </c>
    </row>
    <row r="66" spans="1:11" ht="19.5" customHeight="1">
      <c r="A66" s="99" t="s">
        <v>148</v>
      </c>
      <c r="B66" s="99"/>
      <c r="C66" s="99"/>
      <c r="D66" s="62">
        <f aca="true" t="shared" si="5" ref="D66:K66">D65+D36+D22+D17</f>
        <v>7203780</v>
      </c>
      <c r="E66" s="62">
        <f t="shared" si="5"/>
        <v>7203780</v>
      </c>
      <c r="F66" s="62">
        <f t="shared" si="5"/>
        <v>405805</v>
      </c>
      <c r="G66" s="62">
        <f t="shared" si="5"/>
        <v>0</v>
      </c>
      <c r="H66" s="62">
        <f t="shared" si="5"/>
        <v>0</v>
      </c>
      <c r="I66" s="62">
        <f t="shared" si="5"/>
        <v>0</v>
      </c>
      <c r="J66" s="62">
        <f t="shared" si="5"/>
        <v>6797975</v>
      </c>
      <c r="K66" s="62">
        <f t="shared" si="5"/>
        <v>0</v>
      </c>
    </row>
    <row r="67" ht="12.75">
      <c r="D67" s="27"/>
    </row>
    <row r="68" spans="5:6" ht="12.75">
      <c r="E68" s="27"/>
      <c r="F68" s="27"/>
    </row>
    <row r="69" ht="12.75">
      <c r="E69" s="27"/>
    </row>
  </sheetData>
  <sheetProtection/>
  <mergeCells count="15">
    <mergeCell ref="G1:J4"/>
    <mergeCell ref="A6:J6"/>
    <mergeCell ref="E8:K8"/>
    <mergeCell ref="E9:E10"/>
    <mergeCell ref="F9:J9"/>
    <mergeCell ref="K9:K10"/>
    <mergeCell ref="A66:C66"/>
    <mergeCell ref="D8:D10"/>
    <mergeCell ref="A8:A10"/>
    <mergeCell ref="B8:B10"/>
    <mergeCell ref="C8:C10"/>
    <mergeCell ref="A22:C22"/>
    <mergeCell ref="A36:C36"/>
    <mergeCell ref="A65:C65"/>
    <mergeCell ref="A17:C17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D4">
      <selection activeCell="J16" sqref="J16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875" style="0" customWidth="1"/>
    <col min="4" max="4" width="9.375" style="0" bestFit="1" customWidth="1"/>
    <col min="5" max="5" width="15.00390625" style="0" customWidth="1"/>
    <col min="7" max="9" width="9.625" style="0" customWidth="1"/>
    <col min="10" max="10" width="9.25390625" style="0" customWidth="1"/>
    <col min="11" max="12" width="10.125" style="0" customWidth="1"/>
    <col min="13" max="13" width="14.375" style="0" customWidth="1"/>
  </cols>
  <sheetData>
    <row r="1" spans="10:13" ht="12.75" customHeight="1">
      <c r="J1" s="105" t="s">
        <v>57</v>
      </c>
      <c r="K1" s="105"/>
      <c r="L1" s="105"/>
      <c r="M1" s="105"/>
    </row>
    <row r="2" spans="10:13" ht="12.75">
      <c r="J2" s="105"/>
      <c r="K2" s="105"/>
      <c r="L2" s="105"/>
      <c r="M2" s="105"/>
    </row>
    <row r="3" spans="10:13" ht="12.75" customHeight="1">
      <c r="J3" s="105"/>
      <c r="K3" s="105"/>
      <c r="L3" s="105"/>
      <c r="M3" s="105"/>
    </row>
    <row r="4" spans="10:13" ht="12.75">
      <c r="J4" s="105"/>
      <c r="K4" s="105"/>
      <c r="L4" s="105"/>
      <c r="M4" s="105"/>
    </row>
    <row r="5" spans="10:13" ht="12.75">
      <c r="J5" s="105"/>
      <c r="K5" s="105"/>
      <c r="L5" s="105"/>
      <c r="M5" s="105"/>
    </row>
    <row r="6" spans="10:13" ht="12.75">
      <c r="J6" s="65"/>
      <c r="K6" s="65"/>
      <c r="L6" s="65"/>
      <c r="M6" s="65"/>
    </row>
    <row r="7" spans="1:13" ht="16.5">
      <c r="A7" s="112" t="s">
        <v>16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16.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3" ht="13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 t="s">
        <v>135</v>
      </c>
    </row>
    <row r="11" spans="1:13" ht="15" customHeight="1">
      <c r="A11" s="88" t="s">
        <v>136</v>
      </c>
      <c r="B11" s="88" t="s">
        <v>156</v>
      </c>
      <c r="C11" s="89" t="s">
        <v>125</v>
      </c>
      <c r="D11" s="113" t="s">
        <v>126</v>
      </c>
      <c r="E11" s="89" t="s">
        <v>158</v>
      </c>
      <c r="F11" s="116" t="s">
        <v>160</v>
      </c>
      <c r="G11" s="117"/>
      <c r="H11" s="117"/>
      <c r="I11" s="118"/>
      <c r="J11" s="116" t="s">
        <v>162</v>
      </c>
      <c r="K11" s="117"/>
      <c r="L11" s="118"/>
      <c r="M11" s="89" t="s">
        <v>164</v>
      </c>
    </row>
    <row r="12" spans="1:13" ht="25.5" customHeight="1">
      <c r="A12" s="88"/>
      <c r="B12" s="88"/>
      <c r="C12" s="89"/>
      <c r="D12" s="114"/>
      <c r="E12" s="89"/>
      <c r="F12" s="89" t="s">
        <v>166</v>
      </c>
      <c r="G12" s="107" t="s">
        <v>167</v>
      </c>
      <c r="H12" s="108"/>
      <c r="I12" s="109"/>
      <c r="J12" s="89" t="s">
        <v>166</v>
      </c>
      <c r="K12" s="107" t="s">
        <v>17</v>
      </c>
      <c r="L12" s="109"/>
      <c r="M12" s="89"/>
    </row>
    <row r="13" spans="1:13" ht="23.25" customHeight="1">
      <c r="A13" s="88"/>
      <c r="B13" s="88"/>
      <c r="C13" s="89"/>
      <c r="D13" s="114"/>
      <c r="E13" s="89"/>
      <c r="F13" s="89"/>
      <c r="G13" s="89" t="s">
        <v>18</v>
      </c>
      <c r="H13" s="89"/>
      <c r="I13" s="110" t="s">
        <v>19</v>
      </c>
      <c r="J13" s="89"/>
      <c r="K13" s="89" t="s">
        <v>20</v>
      </c>
      <c r="L13" s="94" t="s">
        <v>23</v>
      </c>
      <c r="M13" s="89"/>
    </row>
    <row r="14" spans="1:13" ht="35.25" customHeight="1">
      <c r="A14" s="88"/>
      <c r="B14" s="88"/>
      <c r="C14" s="89"/>
      <c r="D14" s="115"/>
      <c r="E14" s="89"/>
      <c r="F14" s="89"/>
      <c r="G14" s="57" t="s">
        <v>24</v>
      </c>
      <c r="H14" s="57" t="s">
        <v>25</v>
      </c>
      <c r="I14" s="111"/>
      <c r="J14" s="89"/>
      <c r="K14" s="89"/>
      <c r="L14" s="94"/>
      <c r="M14" s="89"/>
    </row>
    <row r="15" spans="1:13" ht="7.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</row>
    <row r="16" spans="1:14" ht="21.75" customHeight="1">
      <c r="A16" s="7">
        <v>1</v>
      </c>
      <c r="B16" s="19" t="s">
        <v>26</v>
      </c>
      <c r="C16" s="58">
        <v>801</v>
      </c>
      <c r="D16" s="19">
        <v>80104</v>
      </c>
      <c r="E16" s="59">
        <v>5618</v>
      </c>
      <c r="F16" s="59">
        <f>2527169+9000+20000+50000+2400+30794</f>
        <v>2639363</v>
      </c>
      <c r="G16" s="59">
        <f>1919719+20000+50000+30794</f>
        <v>2020513</v>
      </c>
      <c r="H16" s="59">
        <v>0</v>
      </c>
      <c r="I16" s="59">
        <v>9000</v>
      </c>
      <c r="J16" s="59">
        <f>2524223+9000+20000+50000+30794+2400</f>
        <v>2636417</v>
      </c>
      <c r="K16" s="59">
        <v>0</v>
      </c>
      <c r="L16" s="59">
        <v>9000</v>
      </c>
      <c r="M16" s="59">
        <v>8564</v>
      </c>
      <c r="N16" s="56"/>
    </row>
    <row r="17" spans="1:14" ht="21.75" customHeight="1">
      <c r="A17" s="7">
        <v>2</v>
      </c>
      <c r="B17" s="19" t="s">
        <v>184</v>
      </c>
      <c r="C17" s="58">
        <v>926</v>
      </c>
      <c r="D17" s="19">
        <v>92604</v>
      </c>
      <c r="E17" s="59">
        <v>55047</v>
      </c>
      <c r="F17" s="59">
        <f>1554960+25000</f>
        <v>1579960</v>
      </c>
      <c r="G17" s="59">
        <f>658560</f>
        <v>658560</v>
      </c>
      <c r="H17" s="59">
        <v>0</v>
      </c>
      <c r="I17" s="59">
        <v>25000</v>
      </c>
      <c r="J17" s="59">
        <f>1553364+25000</f>
        <v>1578364</v>
      </c>
      <c r="K17" s="59">
        <v>0</v>
      </c>
      <c r="L17" s="59">
        <v>25000</v>
      </c>
      <c r="M17" s="59">
        <v>56643</v>
      </c>
      <c r="N17" s="56"/>
    </row>
    <row r="18" spans="1:13" s="10" customFormat="1" ht="21.75" customHeight="1">
      <c r="A18" s="101" t="s">
        <v>148</v>
      </c>
      <c r="B18" s="101"/>
      <c r="C18" s="11"/>
      <c r="D18" s="11"/>
      <c r="E18" s="60">
        <f>E17+E16</f>
        <v>60665</v>
      </c>
      <c r="F18" s="60">
        <f aca="true" t="shared" si="0" ref="F18:M18">F17+F16</f>
        <v>4219323</v>
      </c>
      <c r="G18" s="60">
        <f t="shared" si="0"/>
        <v>2679073</v>
      </c>
      <c r="H18" s="60">
        <f t="shared" si="0"/>
        <v>0</v>
      </c>
      <c r="I18" s="60">
        <f t="shared" si="0"/>
        <v>34000</v>
      </c>
      <c r="J18" s="60">
        <f t="shared" si="0"/>
        <v>4214781</v>
      </c>
      <c r="K18" s="60">
        <f t="shared" si="0"/>
        <v>0</v>
      </c>
      <c r="L18" s="60">
        <f t="shared" si="0"/>
        <v>34000</v>
      </c>
      <c r="M18" s="60">
        <f t="shared" si="0"/>
        <v>65207</v>
      </c>
    </row>
    <row r="19" ht="4.5" customHeight="1"/>
    <row r="21" ht="12.75">
      <c r="E21" s="56"/>
    </row>
  </sheetData>
  <mergeCells count="20">
    <mergeCell ref="L13:L14"/>
    <mergeCell ref="A7:M7"/>
    <mergeCell ref="A8:M8"/>
    <mergeCell ref="A11:A14"/>
    <mergeCell ref="B11:B14"/>
    <mergeCell ref="C11:C14"/>
    <mergeCell ref="D11:D14"/>
    <mergeCell ref="E11:E14"/>
    <mergeCell ref="F11:I11"/>
    <mergeCell ref="J11:L11"/>
    <mergeCell ref="J1:M5"/>
    <mergeCell ref="A18:B18"/>
    <mergeCell ref="M11:M14"/>
    <mergeCell ref="F12:F14"/>
    <mergeCell ref="G12:I12"/>
    <mergeCell ref="J12:J14"/>
    <mergeCell ref="K12:L12"/>
    <mergeCell ref="G13:H13"/>
    <mergeCell ref="I13:I14"/>
    <mergeCell ref="K13:K14"/>
  </mergeCells>
  <printOptions/>
  <pageMargins left="0.2" right="0.2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F13" sqref="F13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6" ht="12.75">
      <c r="E1" s="105" t="s">
        <v>58</v>
      </c>
      <c r="F1" s="105"/>
    </row>
    <row r="2" spans="5:6" ht="12.75">
      <c r="E2" s="105"/>
      <c r="F2" s="105"/>
    </row>
    <row r="3" spans="5:6" ht="12.75">
      <c r="E3" s="105"/>
      <c r="F3" s="105"/>
    </row>
    <row r="4" spans="5:6" ht="12.75">
      <c r="E4" s="105"/>
      <c r="F4" s="105"/>
    </row>
    <row r="6" spans="1:6" ht="19.5" customHeight="1">
      <c r="A6" s="122" t="s">
        <v>75</v>
      </c>
      <c r="B6" s="122"/>
      <c r="C6" s="122"/>
      <c r="D6" s="122"/>
      <c r="E6" s="122"/>
      <c r="F6" s="122"/>
    </row>
    <row r="7" spans="4:6" ht="19.5" customHeight="1">
      <c r="D7" s="12"/>
      <c r="E7" s="12"/>
      <c r="F7" s="12"/>
    </row>
    <row r="8" spans="4:6" ht="19.5" customHeight="1">
      <c r="D8" s="1"/>
      <c r="E8" s="1"/>
      <c r="F8" s="20" t="s">
        <v>135</v>
      </c>
    </row>
    <row r="9" spans="1:6" ht="19.5" customHeight="1">
      <c r="A9" s="88" t="s">
        <v>136</v>
      </c>
      <c r="B9" s="88" t="s">
        <v>125</v>
      </c>
      <c r="C9" s="88" t="s">
        <v>126</v>
      </c>
      <c r="D9" s="89" t="s">
        <v>168</v>
      </c>
      <c r="E9" s="89" t="s">
        <v>169</v>
      </c>
      <c r="F9" s="89" t="s">
        <v>170</v>
      </c>
    </row>
    <row r="10" spans="1:6" ht="19.5" customHeight="1">
      <c r="A10" s="88"/>
      <c r="B10" s="88"/>
      <c r="C10" s="88"/>
      <c r="D10" s="89"/>
      <c r="E10" s="89"/>
      <c r="F10" s="89"/>
    </row>
    <row r="11" spans="1:6" ht="19.5" customHeight="1">
      <c r="A11" s="88"/>
      <c r="B11" s="88"/>
      <c r="C11" s="88"/>
      <c r="D11" s="89"/>
      <c r="E11" s="89"/>
      <c r="F11" s="89"/>
    </row>
    <row r="12" spans="1:6" ht="7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42.75" customHeight="1">
      <c r="A13" s="21" t="s">
        <v>128</v>
      </c>
      <c r="B13" s="18">
        <v>801</v>
      </c>
      <c r="C13" s="18">
        <v>80104</v>
      </c>
      <c r="D13" s="64" t="s">
        <v>200</v>
      </c>
      <c r="E13" s="47" t="s">
        <v>201</v>
      </c>
      <c r="F13" s="48">
        <f>1919719+20000+50000+30794</f>
        <v>2020513</v>
      </c>
    </row>
    <row r="14" spans="1:6" ht="40.5" customHeight="1">
      <c r="A14" s="21" t="s">
        <v>129</v>
      </c>
      <c r="B14" s="18">
        <v>926</v>
      </c>
      <c r="C14" s="18">
        <v>92604</v>
      </c>
      <c r="D14" s="49" t="s">
        <v>202</v>
      </c>
      <c r="E14" s="47" t="s">
        <v>203</v>
      </c>
      <c r="F14" s="48">
        <v>658560</v>
      </c>
    </row>
    <row r="15" spans="1:6" s="1" customFormat="1" ht="30" customHeight="1">
      <c r="A15" s="119" t="s">
        <v>148</v>
      </c>
      <c r="B15" s="120"/>
      <c r="C15" s="120"/>
      <c r="D15" s="121"/>
      <c r="E15" s="21"/>
      <c r="F15" s="46">
        <f>F14+F13</f>
        <v>2679073</v>
      </c>
    </row>
    <row r="19" ht="12.75">
      <c r="E19" s="56"/>
    </row>
    <row r="21" ht="12.75">
      <c r="E21" s="56"/>
    </row>
  </sheetData>
  <mergeCells count="9">
    <mergeCell ref="E1:F4"/>
    <mergeCell ref="A15:D15"/>
    <mergeCell ref="A6:F6"/>
    <mergeCell ref="F9:F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0.76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C22">
      <selection activeCell="E5" sqref="E5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5:6" ht="12.75">
      <c r="E1" s="105" t="s">
        <v>59</v>
      </c>
      <c r="F1" s="105"/>
    </row>
    <row r="2" spans="5:6" ht="12.75">
      <c r="E2" s="105"/>
      <c r="F2" s="105"/>
    </row>
    <row r="3" spans="5:6" ht="12.75">
      <c r="E3" s="105"/>
      <c r="F3" s="105"/>
    </row>
    <row r="4" spans="5:6" ht="12.75">
      <c r="E4" s="105"/>
      <c r="F4" s="105"/>
    </row>
    <row r="6" spans="1:6" ht="24" customHeight="1">
      <c r="A6" s="124" t="s">
        <v>78</v>
      </c>
      <c r="B6" s="124"/>
      <c r="C6" s="124"/>
      <c r="D6" s="124"/>
      <c r="E6" s="124"/>
      <c r="F6" s="124"/>
    </row>
    <row r="7" spans="4:5" ht="19.5" customHeight="1">
      <c r="D7" s="1"/>
      <c r="E7" s="3" t="s">
        <v>135</v>
      </c>
    </row>
    <row r="8" spans="1:6" ht="19.5" customHeight="1">
      <c r="A8" s="14" t="s">
        <v>136</v>
      </c>
      <c r="B8" s="14" t="s">
        <v>125</v>
      </c>
      <c r="C8" s="14" t="s">
        <v>126</v>
      </c>
      <c r="D8" s="14" t="s">
        <v>165</v>
      </c>
      <c r="E8" s="14" t="s">
        <v>172</v>
      </c>
      <c r="F8" s="14" t="s">
        <v>171</v>
      </c>
    </row>
    <row r="9" spans="1:6" s="24" customFormat="1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5</v>
      </c>
    </row>
    <row r="10" spans="1:6" s="24" customFormat="1" ht="27.75" customHeight="1">
      <c r="A10" s="23">
        <v>1</v>
      </c>
      <c r="B10" s="63" t="s">
        <v>173</v>
      </c>
      <c r="C10" s="63" t="s">
        <v>11</v>
      </c>
      <c r="D10" s="49" t="s">
        <v>49</v>
      </c>
      <c r="E10" s="23" t="s">
        <v>50</v>
      </c>
      <c r="F10" s="48">
        <f>100000-30000</f>
        <v>70000</v>
      </c>
    </row>
    <row r="11" spans="1:6" s="24" customFormat="1" ht="53.25" customHeight="1">
      <c r="A11" s="23">
        <v>2</v>
      </c>
      <c r="B11" s="63" t="s">
        <v>173</v>
      </c>
      <c r="C11" s="63" t="s">
        <v>11</v>
      </c>
      <c r="D11" s="49" t="s">
        <v>61</v>
      </c>
      <c r="E11" s="23" t="s">
        <v>50</v>
      </c>
      <c r="F11" s="48">
        <f>200000-200000</f>
        <v>0</v>
      </c>
    </row>
    <row r="12" spans="1:6" s="24" customFormat="1" ht="53.25" customHeight="1">
      <c r="A12" s="23">
        <v>3</v>
      </c>
      <c r="B12" s="63" t="s">
        <v>175</v>
      </c>
      <c r="C12" s="63" t="s">
        <v>180</v>
      </c>
      <c r="D12" s="49" t="s">
        <v>101</v>
      </c>
      <c r="E12" s="23" t="s">
        <v>112</v>
      </c>
      <c r="F12" s="48">
        <f>50000+32480</f>
        <v>82480</v>
      </c>
    </row>
    <row r="13" spans="1:6" s="24" customFormat="1" ht="75.75" customHeight="1">
      <c r="A13" s="23">
        <v>4</v>
      </c>
      <c r="B13" s="63" t="s">
        <v>175</v>
      </c>
      <c r="C13" s="63" t="s">
        <v>111</v>
      </c>
      <c r="D13" s="49" t="s">
        <v>113</v>
      </c>
      <c r="E13" s="23" t="s">
        <v>114</v>
      </c>
      <c r="F13" s="48">
        <f>150179+76000+336862</f>
        <v>563041</v>
      </c>
    </row>
    <row r="14" spans="1:6" s="24" customFormat="1" ht="42" customHeight="1">
      <c r="A14" s="23">
        <v>5</v>
      </c>
      <c r="B14" s="63" t="s">
        <v>176</v>
      </c>
      <c r="C14" s="63" t="s">
        <v>181</v>
      </c>
      <c r="D14" s="49" t="s">
        <v>118</v>
      </c>
      <c r="E14" s="23" t="s">
        <v>205</v>
      </c>
      <c r="F14" s="48">
        <v>75000</v>
      </c>
    </row>
    <row r="15" spans="1:6" s="24" customFormat="1" ht="42" customHeight="1">
      <c r="A15" s="23">
        <v>6</v>
      </c>
      <c r="B15" s="63" t="s">
        <v>177</v>
      </c>
      <c r="C15" s="63" t="s">
        <v>82</v>
      </c>
      <c r="D15" s="49" t="s">
        <v>84</v>
      </c>
      <c r="E15" s="66" t="s">
        <v>83</v>
      </c>
      <c r="F15" s="48">
        <v>3500</v>
      </c>
    </row>
    <row r="16" spans="1:6" s="24" customFormat="1" ht="44.25" customHeight="1">
      <c r="A16" s="23">
        <v>7</v>
      </c>
      <c r="B16" s="63" t="s">
        <v>178</v>
      </c>
      <c r="C16" s="63" t="s">
        <v>182</v>
      </c>
      <c r="D16" s="49" t="s">
        <v>119</v>
      </c>
      <c r="E16" s="23" t="s">
        <v>120</v>
      </c>
      <c r="F16" s="48">
        <v>9000</v>
      </c>
    </row>
    <row r="17" spans="1:6" s="24" customFormat="1" ht="53.25" customHeight="1">
      <c r="A17" s="23">
        <v>8</v>
      </c>
      <c r="B17" s="23">
        <v>851</v>
      </c>
      <c r="C17" s="23">
        <v>85121</v>
      </c>
      <c r="D17" s="49" t="s">
        <v>88</v>
      </c>
      <c r="E17" s="66" t="s">
        <v>204</v>
      </c>
      <c r="F17" s="48">
        <v>20000</v>
      </c>
    </row>
    <row r="18" spans="1:7" ht="121.5" customHeight="1">
      <c r="A18" s="23">
        <v>9</v>
      </c>
      <c r="B18" s="73">
        <v>851</v>
      </c>
      <c r="C18" s="73">
        <v>85154</v>
      </c>
      <c r="D18" s="74" t="s">
        <v>122</v>
      </c>
      <c r="E18" s="73" t="s">
        <v>205</v>
      </c>
      <c r="F18" s="75">
        <v>50000</v>
      </c>
      <c r="G18" s="79"/>
    </row>
    <row r="19" spans="1:7" ht="121.5" customHeight="1">
      <c r="A19" s="23">
        <v>10</v>
      </c>
      <c r="B19" s="73">
        <v>851</v>
      </c>
      <c r="C19" s="73">
        <v>85154</v>
      </c>
      <c r="D19" s="74" t="s">
        <v>121</v>
      </c>
      <c r="E19" s="73" t="s">
        <v>205</v>
      </c>
      <c r="F19" s="75">
        <v>16000</v>
      </c>
      <c r="G19" s="76"/>
    </row>
    <row r="20" spans="1:7" ht="94.5" customHeight="1">
      <c r="A20" s="23">
        <v>11</v>
      </c>
      <c r="B20" s="73">
        <v>851</v>
      </c>
      <c r="C20" s="73">
        <v>85154</v>
      </c>
      <c r="D20" s="74" t="s">
        <v>123</v>
      </c>
      <c r="E20" s="73" t="s">
        <v>205</v>
      </c>
      <c r="F20" s="75">
        <v>4000</v>
      </c>
      <c r="G20" s="76"/>
    </row>
    <row r="21" spans="1:7" ht="66.75" customHeight="1">
      <c r="A21" s="23">
        <v>12</v>
      </c>
      <c r="B21" s="73">
        <v>926</v>
      </c>
      <c r="C21" s="73">
        <v>92601</v>
      </c>
      <c r="D21" s="74" t="s">
        <v>77</v>
      </c>
      <c r="E21" s="73" t="s">
        <v>114</v>
      </c>
      <c r="F21" s="75">
        <v>75000</v>
      </c>
      <c r="G21" s="76"/>
    </row>
    <row r="22" spans="1:7" ht="57" customHeight="1">
      <c r="A22" s="23">
        <v>13</v>
      </c>
      <c r="B22" s="73">
        <v>926</v>
      </c>
      <c r="C22" s="73">
        <v>92604</v>
      </c>
      <c r="D22" s="77" t="s">
        <v>12</v>
      </c>
      <c r="E22" s="73" t="s">
        <v>205</v>
      </c>
      <c r="F22" s="75">
        <v>170000</v>
      </c>
      <c r="G22" s="76"/>
    </row>
    <row r="23" spans="1:7" ht="54" customHeight="1">
      <c r="A23" s="23">
        <v>14</v>
      </c>
      <c r="B23" s="73">
        <v>926</v>
      </c>
      <c r="C23" s="73">
        <v>92604</v>
      </c>
      <c r="D23" s="77" t="s">
        <v>100</v>
      </c>
      <c r="E23" s="78" t="s">
        <v>202</v>
      </c>
      <c r="F23" s="75">
        <v>25000</v>
      </c>
      <c r="G23" s="76"/>
    </row>
    <row r="24" spans="1:6" ht="30" customHeight="1">
      <c r="A24" s="123" t="s">
        <v>148</v>
      </c>
      <c r="B24" s="123"/>
      <c r="C24" s="123"/>
      <c r="D24" s="123"/>
      <c r="E24" s="21"/>
      <c r="F24" s="46">
        <f>SUM(F10:F23)</f>
        <v>1163021</v>
      </c>
    </row>
    <row r="25" ht="12.75">
      <c r="F25" s="56"/>
    </row>
    <row r="26" s="25" customFormat="1" ht="12.75"/>
    <row r="27" s="26" customFormat="1" ht="12.75"/>
  </sheetData>
  <mergeCells count="3">
    <mergeCell ref="A24:D24"/>
    <mergeCell ref="E1:F4"/>
    <mergeCell ref="A6:F6"/>
  </mergeCells>
  <printOptions horizontalCentered="1"/>
  <pageMargins left="0.3937007874015748" right="0.3937007874015748" top="0.39" bottom="0.47" header="0.22" footer="0.3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B23" sqref="B23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3:4" ht="12.75" customHeight="1">
      <c r="C1" s="90" t="s">
        <v>60</v>
      </c>
      <c r="D1" s="90"/>
    </row>
    <row r="2" spans="3:4" ht="12.75">
      <c r="C2" s="90"/>
      <c r="D2" s="90"/>
    </row>
    <row r="3" spans="3:4" ht="12.75">
      <c r="C3" s="90"/>
      <c r="D3" s="90"/>
    </row>
    <row r="4" spans="3:4" ht="12.75">
      <c r="C4" s="90"/>
      <c r="D4" s="90"/>
    </row>
    <row r="5" spans="3:4" ht="12.75">
      <c r="C5" s="90"/>
      <c r="D5" s="90"/>
    </row>
    <row r="6" spans="3:4" ht="12.75">
      <c r="C6" s="90"/>
      <c r="D6" s="90"/>
    </row>
    <row r="7" spans="3:4" ht="12.75">
      <c r="C7" s="55"/>
      <c r="D7" s="55"/>
    </row>
    <row r="8" spans="1:10" ht="19.5" customHeight="1">
      <c r="A8" s="125" t="s">
        <v>154</v>
      </c>
      <c r="B8" s="125"/>
      <c r="C8" s="125"/>
      <c r="D8" s="125"/>
      <c r="E8" s="12"/>
      <c r="F8" s="12"/>
      <c r="G8" s="12"/>
      <c r="H8" s="12"/>
      <c r="I8" s="12"/>
      <c r="J8" s="12"/>
    </row>
    <row r="9" spans="1:7" ht="19.5" customHeight="1">
      <c r="A9" s="125" t="s">
        <v>155</v>
      </c>
      <c r="B9" s="125"/>
      <c r="C9" s="125"/>
      <c r="D9" s="125"/>
      <c r="E9" s="12"/>
      <c r="F9" s="12"/>
      <c r="G9" s="12"/>
    </row>
    <row r="11" ht="12.75">
      <c r="C11" s="3" t="s">
        <v>135</v>
      </c>
    </row>
    <row r="12" spans="1:10" ht="19.5" customHeight="1">
      <c r="A12" s="14" t="s">
        <v>136</v>
      </c>
      <c r="B12" s="14" t="s">
        <v>156</v>
      </c>
      <c r="C12" s="14" t="s">
        <v>63</v>
      </c>
      <c r="D12" s="15"/>
      <c r="E12" s="15"/>
      <c r="F12" s="15"/>
      <c r="G12" s="15"/>
      <c r="H12" s="15"/>
      <c r="I12" s="16"/>
      <c r="J12" s="16"/>
    </row>
    <row r="13" spans="1:10" ht="19.5" customHeight="1">
      <c r="A13" s="17" t="s">
        <v>157</v>
      </c>
      <c r="B13" s="13" t="s">
        <v>158</v>
      </c>
      <c r="C13" s="50">
        <v>174530</v>
      </c>
      <c r="D13" s="15"/>
      <c r="E13" s="15"/>
      <c r="F13" s="15"/>
      <c r="G13" s="15"/>
      <c r="H13" s="15"/>
      <c r="I13" s="16"/>
      <c r="J13" s="16"/>
    </row>
    <row r="14" spans="1:10" ht="19.5" customHeight="1">
      <c r="A14" s="17" t="s">
        <v>159</v>
      </c>
      <c r="B14" s="13" t="s">
        <v>160</v>
      </c>
      <c r="C14" s="50">
        <f>C15+C16+C18+C17+C19</f>
        <v>516433</v>
      </c>
      <c r="D14" s="15"/>
      <c r="E14" s="15"/>
      <c r="F14" s="15"/>
      <c r="G14" s="15"/>
      <c r="H14" s="15"/>
      <c r="I14" s="16"/>
      <c r="J14" s="16"/>
    </row>
    <row r="15" spans="1:10" ht="19.5" customHeight="1">
      <c r="A15" s="51">
        <v>1</v>
      </c>
      <c r="B15" s="53" t="s">
        <v>206</v>
      </c>
      <c r="C15" s="52">
        <v>1000</v>
      </c>
      <c r="D15" s="15"/>
      <c r="E15" s="15"/>
      <c r="F15" s="15"/>
      <c r="G15" s="15"/>
      <c r="H15" s="15"/>
      <c r="I15" s="16"/>
      <c r="J15" s="16"/>
    </row>
    <row r="16" spans="1:10" ht="27" customHeight="1">
      <c r="A16" s="51">
        <v>2</v>
      </c>
      <c r="B16" s="49" t="s">
        <v>0</v>
      </c>
      <c r="C16" s="52">
        <v>3000</v>
      </c>
      <c r="D16" s="15"/>
      <c r="E16" s="15"/>
      <c r="F16" s="15"/>
      <c r="G16" s="15"/>
      <c r="H16" s="15"/>
      <c r="I16" s="16"/>
      <c r="J16" s="16"/>
    </row>
    <row r="17" spans="1:10" ht="19.5" customHeight="1">
      <c r="A17" s="51">
        <v>3</v>
      </c>
      <c r="B17" s="53" t="s">
        <v>1</v>
      </c>
      <c r="C17" s="52">
        <f>223000+266433</f>
        <v>489433</v>
      </c>
      <c r="D17" s="15"/>
      <c r="E17" s="15"/>
      <c r="F17" s="15"/>
      <c r="G17" s="15"/>
      <c r="H17" s="15"/>
      <c r="I17" s="16"/>
      <c r="J17" s="16"/>
    </row>
    <row r="18" spans="1:10" ht="19.5" customHeight="1">
      <c r="A18" s="51">
        <v>4</v>
      </c>
      <c r="B18" s="53" t="s">
        <v>2</v>
      </c>
      <c r="C18" s="52">
        <v>3000</v>
      </c>
      <c r="D18" s="15"/>
      <c r="E18" s="15"/>
      <c r="F18" s="15"/>
      <c r="G18" s="15"/>
      <c r="H18" s="15"/>
      <c r="I18" s="16"/>
      <c r="J18" s="16"/>
    </row>
    <row r="19" spans="1:10" ht="19.5" customHeight="1">
      <c r="A19" s="51">
        <v>5</v>
      </c>
      <c r="B19" s="53" t="s">
        <v>103</v>
      </c>
      <c r="C19" s="52">
        <v>20000</v>
      </c>
      <c r="D19" s="15"/>
      <c r="E19" s="15"/>
      <c r="F19" s="15"/>
      <c r="G19" s="15"/>
      <c r="H19" s="15"/>
      <c r="I19" s="16"/>
      <c r="J19" s="16"/>
    </row>
    <row r="20" spans="1:10" ht="19.5" customHeight="1">
      <c r="A20" s="17" t="s">
        <v>161</v>
      </c>
      <c r="B20" s="13" t="s">
        <v>162</v>
      </c>
      <c r="C20" s="50">
        <f>C21+C28</f>
        <v>674963</v>
      </c>
      <c r="D20" s="15"/>
      <c r="E20" s="15"/>
      <c r="F20" s="15"/>
      <c r="G20" s="15"/>
      <c r="H20" s="15"/>
      <c r="I20" s="16"/>
      <c r="J20" s="16"/>
    </row>
    <row r="21" spans="1:10" ht="19.5" customHeight="1">
      <c r="A21" s="11" t="s">
        <v>128</v>
      </c>
      <c r="B21" s="54" t="s">
        <v>132</v>
      </c>
      <c r="C21" s="46">
        <f>C22+C23+C25+C27+C24+C26</f>
        <v>195491</v>
      </c>
      <c r="D21" s="15"/>
      <c r="E21" s="15"/>
      <c r="F21" s="15"/>
      <c r="G21" s="15"/>
      <c r="H21" s="15"/>
      <c r="I21" s="16"/>
      <c r="J21" s="16"/>
    </row>
    <row r="22" spans="1:10" ht="17.25" customHeight="1">
      <c r="A22" s="23">
        <v>1</v>
      </c>
      <c r="B22" s="53" t="s">
        <v>13</v>
      </c>
      <c r="C22" s="48">
        <v>10000</v>
      </c>
      <c r="D22" s="15"/>
      <c r="E22" s="15"/>
      <c r="F22" s="15"/>
      <c r="G22" s="15"/>
      <c r="H22" s="15"/>
      <c r="I22" s="16"/>
      <c r="J22" s="16"/>
    </row>
    <row r="23" spans="1:10" ht="15" customHeight="1">
      <c r="A23" s="23">
        <v>2</v>
      </c>
      <c r="B23" s="53" t="s">
        <v>3</v>
      </c>
      <c r="C23" s="48">
        <f>42600-6000-909-797-553+3800</f>
        <v>38141</v>
      </c>
      <c r="D23" s="15"/>
      <c r="E23" s="15"/>
      <c r="F23" s="15"/>
      <c r="G23" s="15"/>
      <c r="H23" s="15"/>
      <c r="I23" s="16"/>
      <c r="J23" s="16"/>
    </row>
    <row r="24" spans="1:10" ht="15" customHeight="1">
      <c r="A24" s="23">
        <v>3</v>
      </c>
      <c r="B24" s="53" t="s">
        <v>64</v>
      </c>
      <c r="C24" s="48">
        <v>2000</v>
      </c>
      <c r="D24" s="15"/>
      <c r="E24" s="15"/>
      <c r="F24" s="15"/>
      <c r="G24" s="15"/>
      <c r="H24" s="15"/>
      <c r="I24" s="16"/>
      <c r="J24" s="16"/>
    </row>
    <row r="25" spans="1:10" ht="15" customHeight="1">
      <c r="A25" s="23">
        <v>4</v>
      </c>
      <c r="B25" s="53" t="s">
        <v>4</v>
      </c>
      <c r="C25" s="48">
        <f>76000+553</f>
        <v>76553</v>
      </c>
      <c r="D25" s="15"/>
      <c r="E25" s="15"/>
      <c r="F25" s="15"/>
      <c r="G25" s="15"/>
      <c r="H25" s="15"/>
      <c r="I25" s="16"/>
      <c r="J25" s="16"/>
    </row>
    <row r="26" spans="1:10" ht="15" customHeight="1">
      <c r="A26" s="23">
        <v>5</v>
      </c>
      <c r="B26" s="53" t="s">
        <v>108</v>
      </c>
      <c r="C26" s="48">
        <f>66000+797</f>
        <v>66797</v>
      </c>
      <c r="D26" s="15"/>
      <c r="E26" s="15"/>
      <c r="F26" s="15"/>
      <c r="G26" s="15"/>
      <c r="H26" s="15"/>
      <c r="I26" s="16"/>
      <c r="J26" s="16"/>
    </row>
    <row r="27" spans="1:10" ht="30" customHeight="1">
      <c r="A27" s="23">
        <v>6</v>
      </c>
      <c r="B27" s="49" t="s">
        <v>65</v>
      </c>
      <c r="C27" s="48">
        <v>2000</v>
      </c>
      <c r="D27" s="15"/>
      <c r="E27" s="15"/>
      <c r="F27" s="15"/>
      <c r="G27" s="15"/>
      <c r="H27" s="15"/>
      <c r="I27" s="16"/>
      <c r="J27" s="16"/>
    </row>
    <row r="28" spans="1:10" ht="19.5" customHeight="1">
      <c r="A28" s="11" t="s">
        <v>129</v>
      </c>
      <c r="B28" s="54" t="s">
        <v>133</v>
      </c>
      <c r="C28" s="46">
        <f>C29+C30</f>
        <v>479472</v>
      </c>
      <c r="D28" s="15"/>
      <c r="E28" s="15"/>
      <c r="F28" s="15"/>
      <c r="G28" s="15"/>
      <c r="H28" s="15"/>
      <c r="I28" s="16"/>
      <c r="J28" s="16"/>
    </row>
    <row r="29" spans="1:10" ht="15">
      <c r="A29" s="23">
        <v>1</v>
      </c>
      <c r="B29" s="49" t="s">
        <v>5</v>
      </c>
      <c r="C29" s="48">
        <f>255930+20000-66000+100000+20000+142633</f>
        <v>472563</v>
      </c>
      <c r="D29" s="15"/>
      <c r="E29" s="15"/>
      <c r="F29" s="15"/>
      <c r="G29" s="15"/>
      <c r="H29" s="15"/>
      <c r="I29" s="16"/>
      <c r="J29" s="16"/>
    </row>
    <row r="30" spans="1:10" ht="38.25">
      <c r="A30" s="23">
        <v>2</v>
      </c>
      <c r="B30" s="49" t="s">
        <v>102</v>
      </c>
      <c r="C30" s="48">
        <f>6000+909</f>
        <v>6909</v>
      </c>
      <c r="D30" s="15"/>
      <c r="E30" s="15"/>
      <c r="F30" s="15"/>
      <c r="G30" s="15"/>
      <c r="H30" s="15"/>
      <c r="I30" s="16"/>
      <c r="J30" s="16"/>
    </row>
    <row r="31" spans="1:10" ht="15" customHeight="1">
      <c r="A31" s="17" t="s">
        <v>163</v>
      </c>
      <c r="B31" s="13" t="s">
        <v>164</v>
      </c>
      <c r="C31" s="50">
        <f>C13+C14-C20</f>
        <v>16000</v>
      </c>
      <c r="D31" s="15"/>
      <c r="E31" s="15"/>
      <c r="F31" s="15"/>
      <c r="G31" s="15"/>
      <c r="H31" s="15"/>
      <c r="I31" s="16"/>
      <c r="J31" s="16"/>
    </row>
    <row r="32" spans="1:10" ht="15">
      <c r="A32" s="15"/>
      <c r="B32" s="15"/>
      <c r="C32" s="15"/>
      <c r="D32" s="15"/>
      <c r="E32" s="15"/>
      <c r="F32" s="15"/>
      <c r="G32" s="15"/>
      <c r="H32" s="15"/>
      <c r="I32" s="16"/>
      <c r="J32" s="16"/>
    </row>
    <row r="33" spans="1:10" ht="15">
      <c r="A33" s="15"/>
      <c r="B33" s="15"/>
      <c r="C33" s="15"/>
      <c r="D33" s="15"/>
      <c r="E33" s="15"/>
      <c r="F33" s="15"/>
      <c r="G33" s="15"/>
      <c r="H33" s="15"/>
      <c r="I33" s="16"/>
      <c r="J33" s="16"/>
    </row>
    <row r="34" spans="1:10" ht="15">
      <c r="A34" s="15"/>
      <c r="B34" s="15"/>
      <c r="C34" s="15"/>
      <c r="D34" s="15"/>
      <c r="E34" s="15"/>
      <c r="F34" s="15"/>
      <c r="G34" s="15"/>
      <c r="H34" s="15"/>
      <c r="I34" s="16"/>
      <c r="J34" s="16"/>
    </row>
    <row r="35" spans="1:10" ht="15">
      <c r="A35" s="15"/>
      <c r="B35" s="15"/>
      <c r="C35" s="15"/>
      <c r="D35" s="15"/>
      <c r="E35" s="15"/>
      <c r="F35" s="15"/>
      <c r="G35" s="15"/>
      <c r="H35" s="15"/>
      <c r="I35" s="16"/>
      <c r="J35" s="16"/>
    </row>
    <row r="36" spans="1:10" ht="15">
      <c r="A36" s="15"/>
      <c r="B36" s="15"/>
      <c r="C36" s="15"/>
      <c r="D36" s="15"/>
      <c r="E36" s="15"/>
      <c r="F36" s="15"/>
      <c r="G36" s="15"/>
      <c r="H36" s="15"/>
      <c r="I36" s="16"/>
      <c r="J36" s="16"/>
    </row>
    <row r="37" spans="1:10" ht="15">
      <c r="A37" s="15"/>
      <c r="B37" s="15"/>
      <c r="C37" s="15"/>
      <c r="D37" s="15"/>
      <c r="E37" s="15"/>
      <c r="F37" s="15"/>
      <c r="G37" s="15"/>
      <c r="H37" s="15"/>
      <c r="I37" s="16"/>
      <c r="J37" s="16"/>
    </row>
    <row r="38" spans="1:10" ht="1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5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5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5">
      <c r="A41" s="16"/>
      <c r="B41" s="16"/>
      <c r="C41" s="16"/>
      <c r="D41" s="16"/>
      <c r="E41" s="16"/>
      <c r="F41" s="16"/>
      <c r="G41" s="16"/>
      <c r="H41" s="16"/>
      <c r="I41" s="16"/>
      <c r="J41" s="16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2009-11-25T13:33:07Z</cp:lastPrinted>
  <dcterms:created xsi:type="dcterms:W3CDTF">1998-12-09T13:02:10Z</dcterms:created>
  <dcterms:modified xsi:type="dcterms:W3CDTF">2009-12-01T08:29:17Z</dcterms:modified>
  <cp:category/>
  <cp:version/>
  <cp:contentType/>
  <cp:contentStatus/>
</cp:coreProperties>
</file>