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2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calcMode="manual" fullCalcOnLoad="1"/>
</workbook>
</file>

<file path=xl/sharedStrings.xml><?xml version="1.0" encoding="utf-8"?>
<sst xmlns="http://schemas.openxmlformats.org/spreadsheetml/2006/main" count="445" uniqueCount="191">
  <si>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</si>
  <si>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</si>
  <si>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</si>
  <si>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</si>
  <si>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</si>
  <si>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</si>
  <si>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</si>
  <si>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</si>
  <si>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</si>
  <si>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</si>
  <si>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</si>
  <si>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</si>
  <si>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</si>
  <si>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</si>
  <si>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</si>
  <si>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</si>
  <si>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</si>
  <si>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</si>
  <si>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</si>
  <si>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</si>
  <si>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</si>
  <si>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</si>
  <si>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Wydatki bieżące</t>
  </si>
  <si>
    <t>IV.</t>
  </si>
  <si>
    <t>Wydatki majątkowe</t>
  </si>
  <si>
    <t>Rozdz.</t>
  </si>
  <si>
    <t>w złotych</t>
  </si>
  <si>
    <t>Kwota dotacji</t>
  </si>
  <si>
    <t>Nazwa instytucji</t>
  </si>
  <si>
    <t>x</t>
  </si>
  <si>
    <t>9.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</si>
  <si>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</si>
  <si>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</si>
  <si>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</si>
  <si>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</si>
  <si>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</si>
  <si>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</si>
  <si>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</si>
  <si>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</si>
  <si>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</si>
  <si>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</si>
  <si>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</si>
  <si>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</si>
  <si>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</si>
  <si>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</si>
  <si>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</si>
  <si>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</si>
  <si>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</si>
  <si>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</si>
  <si>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</si>
  <si>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</si>
  <si>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</si>
  <si>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</si>
  <si>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</si>
  <si>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</si>
  <si>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</si>
  <si>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</si>
  <si>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</si>
  <si>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</si>
  <si>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</si>
  <si>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</si>
  <si>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</si>
  <si>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</si>
  <si>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</si>
  <si>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</si>
  <si>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</si>
  <si>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</si>
  <si>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</si>
  <si>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</si>
  <si>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</si>
  <si>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</si>
  <si>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</si>
  <si>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</si>
  <si>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</si>
  <si>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</si>
  <si>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</si>
  <si>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</si>
  <si>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</si>
  <si>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</si>
  <si>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</si>
  <si>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</si>
  <si>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</si>
  <si>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</si>
  <si>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</si>
  <si>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</si>
  <si>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</si>
  <si>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</si>
  <si>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</si>
  <si>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</si>
  <si>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</si>
  <si>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</si>
  <si>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</si>
  <si>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Wpływy z różnych opłat § 0690</t>
  </si>
  <si>
    <t>Pozostałe odsetki  § 0920</t>
  </si>
  <si>
    <t>Grzywny, mandaty i inne kary pieniężne od osób fizycznych § 0570</t>
  </si>
  <si>
    <t>Wpływy z opłat za zarząd, użytkowanie i użytkowanie wieczyste nieruchomości § 0470</t>
  </si>
  <si>
    <t>Grzywny i inne kary pieniężne od osób prawnych i innych jednostek organizacyjnych § 0580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</si>
  <si>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</si>
  <si>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</si>
  <si>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</si>
  <si>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</si>
  <si>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</si>
  <si>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Muzeum Regionalne w Pińczowie</t>
  </si>
  <si>
    <t>Świętokrzyskie Stowarzyszenie na Rzecz Aktywizacji Zawodowej i Pomocy Młodzieży - Niepubliczne Gimnazjum w Pińczowie</t>
  </si>
  <si>
    <t>Pińczowskie Samorządowe Centrum Kultury               w Pińczowie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</si>
  <si>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</si>
  <si>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</si>
  <si>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</si>
  <si>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</si>
  <si>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</si>
  <si>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</si>
  <si>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</si>
  <si>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</si>
  <si>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</si>
  <si>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</si>
  <si>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</si>
  <si>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</si>
  <si>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</si>
  <si>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</si>
  <si>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 xml:space="preserve">Załącznik nr 2                                                                                                              do uchwały Rady Miejskiej nr ……………  .... z dnia ………………….….                              w sprawie zmian w budżecie Gminy na 2007 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</si>
  <si>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</si>
  <si>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</si>
  <si>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</si>
  <si>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</si>
  <si>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</si>
  <si>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</si>
  <si>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</si>
  <si>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</si>
  <si>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</si>
  <si>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</si>
  <si>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</si>
  <si>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</si>
  <si>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</si>
  <si>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</si>
  <si>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</si>
  <si>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</si>
  <si>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</si>
  <si>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</si>
  <si>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</si>
  <si>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</si>
  <si>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</si>
  <si>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</si>
  <si>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</si>
  <si>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</si>
  <si>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</si>
  <si>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</si>
  <si>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</si>
  <si>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</si>
  <si>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</si>
  <si>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</si>
  <si>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</si>
  <si>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</si>
  <si>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</si>
  <si>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</si>
  <si>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</si>
  <si>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</si>
  <si>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</si>
  <si>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</si>
  <si>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</si>
  <si>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</si>
  <si>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</si>
  <si>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</si>
  <si>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</si>
  <si>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</si>
  <si>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</si>
  <si>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</si>
  <si>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</si>
  <si>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</si>
  <si>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</si>
  <si>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</si>
  <si>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</si>
  <si>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</si>
  <si>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</si>
  <si>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</si>
  <si>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</si>
  <si>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</si>
  <si>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</si>
  <si>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</si>
  <si>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>Plan przychodów i wydatków Gminnego Funduszu Ochrony Środowiska i Gospodarki Wodnej</t>
  </si>
  <si>
    <t>Przebudowa drogi do oś. Witosa</t>
  </si>
  <si>
    <r>
      <t xml:space="preserve">Nagrody o charakterze szczególnym niezaliczone do wynagrodzeń  </t>
    </r>
    <r>
      <rPr>
        <sz val="10"/>
        <rFont val="Arial"/>
        <family val="0"/>
      </rPr>
      <t xml:space="preserve">§ </t>
    </r>
    <r>
      <rPr>
        <sz val="10"/>
        <rFont val="Arial CE"/>
        <family val="2"/>
      </rPr>
      <t>3040</t>
    </r>
  </si>
  <si>
    <t>Załącznik nr 5                                                                                                              do uchwały Rady Miejskiej nr …………….... z dnia ……………….          w sprawie zmian w budżecie Gminy na 2007</t>
  </si>
  <si>
    <t xml:space="preserve">Załącznik nr 6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</si>
  <si>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>Samodzielny Zaklad opieki Zdrowotnej w Pińczowie</t>
  </si>
  <si>
    <t xml:space="preserve">Załacznik nr 7                                                                                                                                                                              do uchwały Rady Miejskiej w Pińczowie nr ……..……. z dnia ………………                                                          w sprawie zmian w budżecie Gminy na 2007 </t>
  </si>
  <si>
    <t>Projekt przebudowy dróg w barkowie</t>
  </si>
  <si>
    <t xml:space="preserve">Załącznik nr 3                                                                                                              do uchwały Rady Miejskiej nr XVIII/135/07 z dnia 5 grudnia 2007 r.                              w sprawie zmian w budżecie Gminy na 2007 </t>
  </si>
  <si>
    <t>Przewodniczący</t>
  </si>
  <si>
    <t>Rady Miejskiej</t>
  </si>
  <si>
    <t>Marek OMASTA</t>
  </si>
  <si>
    <t xml:space="preserve">Załącznik nr 4                                                                                                              do uchwały Rady Miejskiej nr XVIII/135/07 z dnia 5 grudnia 2007 r.          w sprawie zmian w budżecie Gminy na 2007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</si>
</sst>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view="pageBreakPreview" zoomScale="60" workbookViewId="0" topLeftCell="A20">
      <selection activeCell="A4" sqref="A4:C5"/>
    </sheetView>
  </sheetViews>
  <sheetFormatPr defaultColWidth="9.00390625" defaultRowHeight="12.75"/>
  <cols>
    <col min="1" max="1" width="5.625" style="69" customWidth="1"/>
    <col min="2" max="2" width="4.875" style="72" bestFit="1" customWidth="1"/>
    <col min="3" max="3" width="5.875" style="72" customWidth="1"/>
    <col min="4" max="4" width="15.125" style="69" customWidth="1"/>
    <col min="5" max="5" width="11.625" style="69" customWidth="1"/>
    <col min="6" max="7" width="11.25390625" style="69" customWidth="1"/>
    <col min="8" max="8" width="11.625" style="69" customWidth="1"/>
    <col min="9" max="9" width="11.125" style="69" customWidth="1"/>
    <col min="10" max="11" width="12.875" style="69" customWidth="1"/>
    <col min="12" max="12" width="11.25390625" style="69" customWidth="1"/>
    <col min="13" max="13" width="12.125" style="69" customWidth="1"/>
    <col min="14" max="14" width="11.25390625" style="69" customWidth="1"/>
    <col min="15" max="15" width="16.75390625" style="69" customWidth="1"/>
    <col min="16" max="16384" width="9.125" style="69" customWidth="1"/>
  </cols>
  <sheetData>
    <row r="1" spans="11:15" ht="12.75" customHeight="1">
      <c r="K1" s="90" t="s">
        <v>119</v>
      </c>
      <c r="L1" s="90"/>
      <c r="M1" s="90"/>
      <c r="N1" s="90"/>
      <c r="O1" s="90"/>
    </row>
    <row r="2" spans="11:15" ht="30.75" customHeight="1">
      <c r="K2" s="90"/>
      <c r="L2" s="90"/>
      <c r="M2" s="90"/>
      <c r="N2" s="90"/>
      <c r="O2" s="90"/>
    </row>
    <row r="3" spans="12:15" ht="12.75">
      <c r="L3" s="68"/>
      <c r="M3" s="70"/>
      <c r="N3" s="68"/>
      <c r="O3" s="68"/>
    </row>
    <row r="4" spans="1:15" ht="18">
      <c r="A4" s="92" t="s">
        <v>117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</row>
    <row r="5" spans="1:15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26</v>
      </c>
    </row>
    <row r="6" spans="1:15" s="22" customFormat="1" ht="19.5" customHeight="1">
      <c r="A6" s="93" t="s">
        <v>36</v>
      </c>
      <c r="B6" s="93" t="s">
        <v>2</v>
      </c>
      <c r="C6" s="93" t="s">
        <v>25</v>
      </c>
      <c r="D6" s="89" t="s">
        <v>58</v>
      </c>
      <c r="E6" s="89" t="s">
        <v>37</v>
      </c>
      <c r="F6" s="89" t="s">
        <v>61</v>
      </c>
      <c r="G6" s="89" t="s">
        <v>46</v>
      </c>
      <c r="H6" s="89"/>
      <c r="I6" s="89"/>
      <c r="J6" s="89"/>
      <c r="K6" s="89"/>
      <c r="L6" s="89"/>
      <c r="M6" s="89"/>
      <c r="N6" s="89"/>
      <c r="O6" s="89" t="s">
        <v>41</v>
      </c>
    </row>
    <row r="7" spans="1:15" s="22" customFormat="1" ht="19.5" customHeight="1">
      <c r="A7" s="93"/>
      <c r="B7" s="93"/>
      <c r="C7" s="93"/>
      <c r="D7" s="89"/>
      <c r="E7" s="89"/>
      <c r="F7" s="89"/>
      <c r="G7" s="89" t="s">
        <v>42</v>
      </c>
      <c r="H7" s="89" t="s">
        <v>17</v>
      </c>
      <c r="I7" s="89"/>
      <c r="J7" s="89"/>
      <c r="K7" s="89"/>
      <c r="L7" s="89" t="s">
        <v>31</v>
      </c>
      <c r="M7" s="89" t="s">
        <v>34</v>
      </c>
      <c r="N7" s="89" t="s">
        <v>62</v>
      </c>
      <c r="O7" s="89"/>
    </row>
    <row r="8" spans="1:15" s="22" customFormat="1" ht="29.25" customHeight="1">
      <c r="A8" s="93"/>
      <c r="B8" s="93"/>
      <c r="C8" s="93"/>
      <c r="D8" s="89"/>
      <c r="E8" s="89"/>
      <c r="F8" s="89"/>
      <c r="G8" s="89"/>
      <c r="H8" s="89" t="s">
        <v>63</v>
      </c>
      <c r="I8" s="89" t="s">
        <v>56</v>
      </c>
      <c r="J8" s="89" t="s">
        <v>64</v>
      </c>
      <c r="K8" s="89" t="s">
        <v>57</v>
      </c>
      <c r="L8" s="89"/>
      <c r="M8" s="89"/>
      <c r="N8" s="89"/>
      <c r="O8" s="89"/>
    </row>
    <row r="9" spans="1:15" s="22" customFormat="1" ht="19.5" customHeight="1">
      <c r="A9" s="93"/>
      <c r="B9" s="93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5" s="22" customFormat="1" ht="19.5" customHeight="1">
      <c r="A10" s="93"/>
      <c r="B10" s="93"/>
      <c r="C10" s="93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</row>
    <row r="11" spans="1:15" ht="12.75" customHeight="1">
      <c r="A11" s="53">
        <v>1</v>
      </c>
      <c r="B11" s="53">
        <v>2</v>
      </c>
      <c r="C11" s="53">
        <v>3</v>
      </c>
      <c r="D11" s="53">
        <v>4</v>
      </c>
      <c r="E11" s="53">
        <v>5</v>
      </c>
      <c r="F11" s="53">
        <v>6</v>
      </c>
      <c r="G11" s="53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3">
        <v>13</v>
      </c>
      <c r="N11" s="53">
        <v>14</v>
      </c>
      <c r="O11" s="53">
        <v>15</v>
      </c>
    </row>
    <row r="12" spans="1:15" ht="61.5" customHeight="1">
      <c r="A12" s="32" t="s">
        <v>11</v>
      </c>
      <c r="B12" s="73" t="s">
        <v>69</v>
      </c>
      <c r="C12" s="73" t="s">
        <v>70</v>
      </c>
      <c r="D12" s="25" t="s">
        <v>142</v>
      </c>
      <c r="E12" s="33">
        <f>G12+L12+M12+N12+F12</f>
        <v>213000</v>
      </c>
      <c r="F12" s="33">
        <v>0</v>
      </c>
      <c r="G12" s="33">
        <v>23000</v>
      </c>
      <c r="H12" s="33">
        <f>G12</f>
        <v>23000</v>
      </c>
      <c r="I12" s="33">
        <v>0</v>
      </c>
      <c r="J12" s="27" t="s">
        <v>77</v>
      </c>
      <c r="K12" s="33">
        <v>0</v>
      </c>
      <c r="L12" s="33">
        <v>190000</v>
      </c>
      <c r="M12" s="33">
        <v>0</v>
      </c>
      <c r="N12" s="33">
        <v>0</v>
      </c>
      <c r="O12" s="26" t="s">
        <v>73</v>
      </c>
    </row>
    <row r="13" spans="1:15" ht="63.75">
      <c r="A13" s="32" t="s">
        <v>12</v>
      </c>
      <c r="B13" s="73" t="s">
        <v>69</v>
      </c>
      <c r="C13" s="73" t="s">
        <v>70</v>
      </c>
      <c r="D13" s="25" t="s">
        <v>143</v>
      </c>
      <c r="E13" s="33">
        <f aca="true" t="shared" si="0" ref="E13:E19">G13+L13+M13+N13+F13</f>
        <v>194000</v>
      </c>
      <c r="F13" s="33">
        <v>0</v>
      </c>
      <c r="G13" s="33">
        <v>14000</v>
      </c>
      <c r="H13" s="33">
        <f>G13</f>
        <v>14000</v>
      </c>
      <c r="I13" s="33">
        <v>0</v>
      </c>
      <c r="J13" s="27" t="s">
        <v>77</v>
      </c>
      <c r="K13" s="33">
        <v>0</v>
      </c>
      <c r="L13" s="33">
        <v>180000</v>
      </c>
      <c r="M13" s="33">
        <v>0</v>
      </c>
      <c r="N13" s="33">
        <v>0</v>
      </c>
      <c r="O13" s="26" t="s">
        <v>73</v>
      </c>
    </row>
    <row r="14" spans="1:15" ht="51">
      <c r="A14" s="32" t="s">
        <v>13</v>
      </c>
      <c r="B14" s="73" t="s">
        <v>69</v>
      </c>
      <c r="C14" s="73" t="s">
        <v>70</v>
      </c>
      <c r="D14" s="25" t="s">
        <v>144</v>
      </c>
      <c r="E14" s="33">
        <f t="shared" si="0"/>
        <v>88500</v>
      </c>
      <c r="F14" s="33">
        <v>0</v>
      </c>
      <c r="G14" s="33">
        <v>8500</v>
      </c>
      <c r="H14" s="33">
        <v>8500</v>
      </c>
      <c r="I14" s="33">
        <v>0</v>
      </c>
      <c r="J14" s="27" t="s">
        <v>77</v>
      </c>
      <c r="K14" s="33">
        <v>0</v>
      </c>
      <c r="L14" s="33">
        <v>80000</v>
      </c>
      <c r="M14" s="33">
        <v>0</v>
      </c>
      <c r="N14" s="33">
        <v>0</v>
      </c>
      <c r="O14" s="26" t="s">
        <v>73</v>
      </c>
    </row>
    <row r="15" spans="1:15" ht="51">
      <c r="A15" s="32" t="s">
        <v>1</v>
      </c>
      <c r="B15" s="73" t="s">
        <v>69</v>
      </c>
      <c r="C15" s="73" t="s">
        <v>70</v>
      </c>
      <c r="D15" s="25" t="s">
        <v>145</v>
      </c>
      <c r="E15" s="33">
        <f t="shared" si="0"/>
        <v>312500</v>
      </c>
      <c r="F15" s="33">
        <v>0</v>
      </c>
      <c r="G15" s="33">
        <f>12500+300000-60000-20000-20000-60000-20000</f>
        <v>132500</v>
      </c>
      <c r="H15" s="33">
        <f>G15</f>
        <v>132500</v>
      </c>
      <c r="I15" s="33">
        <v>0</v>
      </c>
      <c r="J15" s="27" t="s">
        <v>77</v>
      </c>
      <c r="K15" s="33">
        <v>0</v>
      </c>
      <c r="L15" s="33">
        <v>180000</v>
      </c>
      <c r="M15" s="33">
        <v>0</v>
      </c>
      <c r="N15" s="33">
        <v>0</v>
      </c>
      <c r="O15" s="26" t="s">
        <v>73</v>
      </c>
    </row>
    <row r="16" spans="1:15" ht="52.5" customHeight="1">
      <c r="A16" s="32" t="s">
        <v>18</v>
      </c>
      <c r="B16" s="73" t="s">
        <v>69</v>
      </c>
      <c r="C16" s="73" t="s">
        <v>70</v>
      </c>
      <c r="D16" s="25" t="s">
        <v>146</v>
      </c>
      <c r="E16" s="33">
        <f t="shared" si="0"/>
        <v>180000</v>
      </c>
      <c r="F16" s="33">
        <v>0</v>
      </c>
      <c r="G16" s="33">
        <v>30000</v>
      </c>
      <c r="H16" s="33">
        <v>30000</v>
      </c>
      <c r="I16" s="33">
        <v>0</v>
      </c>
      <c r="J16" s="27" t="s">
        <v>77</v>
      </c>
      <c r="K16" s="33">
        <v>0</v>
      </c>
      <c r="L16" s="33">
        <v>30000</v>
      </c>
      <c r="M16" s="33">
        <v>120000</v>
      </c>
      <c r="N16" s="33">
        <v>0</v>
      </c>
      <c r="O16" s="26" t="s">
        <v>73</v>
      </c>
    </row>
    <row r="17" spans="1:15" ht="51">
      <c r="A17" s="32" t="s">
        <v>19</v>
      </c>
      <c r="B17" s="73" t="s">
        <v>69</v>
      </c>
      <c r="C17" s="73" t="s">
        <v>70</v>
      </c>
      <c r="D17" s="25" t="s">
        <v>147</v>
      </c>
      <c r="E17" s="33">
        <f t="shared" si="0"/>
        <v>220000</v>
      </c>
      <c r="F17" s="33">
        <v>0</v>
      </c>
      <c r="G17" s="33">
        <v>30000</v>
      </c>
      <c r="H17" s="33">
        <v>30000</v>
      </c>
      <c r="I17" s="33">
        <v>0</v>
      </c>
      <c r="J17" s="27" t="s">
        <v>77</v>
      </c>
      <c r="K17" s="33">
        <v>0</v>
      </c>
      <c r="L17" s="33">
        <v>30000</v>
      </c>
      <c r="M17" s="33">
        <v>160000</v>
      </c>
      <c r="N17" s="33">
        <v>0</v>
      </c>
      <c r="O17" s="26" t="s">
        <v>73</v>
      </c>
    </row>
    <row r="18" spans="1:15" ht="63.75">
      <c r="A18" s="32" t="s">
        <v>20</v>
      </c>
      <c r="B18" s="73" t="s">
        <v>69</v>
      </c>
      <c r="C18" s="73" t="s">
        <v>70</v>
      </c>
      <c r="D18" s="25" t="s">
        <v>148</v>
      </c>
      <c r="E18" s="33">
        <f t="shared" si="0"/>
        <v>320000</v>
      </c>
      <c r="F18" s="33">
        <v>0</v>
      </c>
      <c r="G18" s="33">
        <v>50000</v>
      </c>
      <c r="H18" s="33">
        <v>50000</v>
      </c>
      <c r="I18" s="33">
        <v>0</v>
      </c>
      <c r="J18" s="27" t="s">
        <v>77</v>
      </c>
      <c r="K18" s="33">
        <v>0</v>
      </c>
      <c r="L18" s="33">
        <v>50000</v>
      </c>
      <c r="M18" s="33">
        <v>220000</v>
      </c>
      <c r="N18" s="33">
        <v>0</v>
      </c>
      <c r="O18" s="26" t="s">
        <v>73</v>
      </c>
    </row>
    <row r="19" spans="1:15" ht="158.25" customHeight="1">
      <c r="A19" s="32" t="s">
        <v>21</v>
      </c>
      <c r="B19" s="73" t="s">
        <v>69</v>
      </c>
      <c r="C19" s="73" t="s">
        <v>70</v>
      </c>
      <c r="D19" s="25" t="s">
        <v>149</v>
      </c>
      <c r="E19" s="33">
        <f t="shared" si="0"/>
        <v>2111000</v>
      </c>
      <c r="F19" s="33">
        <v>0</v>
      </c>
      <c r="G19" s="33">
        <v>111000</v>
      </c>
      <c r="H19" s="33">
        <v>111000</v>
      </c>
      <c r="I19" s="33">
        <v>0</v>
      </c>
      <c r="J19" s="27" t="s">
        <v>77</v>
      </c>
      <c r="K19" s="33">
        <v>0</v>
      </c>
      <c r="L19" s="33">
        <v>0</v>
      </c>
      <c r="M19" s="33">
        <v>1000000</v>
      </c>
      <c r="N19" s="33">
        <v>1000000</v>
      </c>
      <c r="O19" s="26" t="s">
        <v>73</v>
      </c>
    </row>
    <row r="20" spans="1:15" ht="94.5" customHeight="1">
      <c r="A20" s="32" t="s">
        <v>30</v>
      </c>
      <c r="B20" s="73" t="s">
        <v>69</v>
      </c>
      <c r="C20" s="73" t="s">
        <v>70</v>
      </c>
      <c r="D20" s="63" t="s">
        <v>150</v>
      </c>
      <c r="E20" s="33">
        <f>G20+L20</f>
        <v>294000</v>
      </c>
      <c r="F20" s="33">
        <v>0</v>
      </c>
      <c r="G20" s="33">
        <f>222000+22000</f>
        <v>244000</v>
      </c>
      <c r="H20" s="33">
        <v>0</v>
      </c>
      <c r="I20" s="33">
        <f>222000+22000</f>
        <v>244000</v>
      </c>
      <c r="J20" s="27" t="s">
        <v>77</v>
      </c>
      <c r="K20" s="33">
        <v>0</v>
      </c>
      <c r="L20" s="33">
        <v>50000</v>
      </c>
      <c r="M20" s="33">
        <v>0</v>
      </c>
      <c r="N20" s="33">
        <v>0</v>
      </c>
      <c r="O20" s="26" t="s">
        <v>73</v>
      </c>
    </row>
    <row r="21" spans="1:15" ht="72" customHeight="1">
      <c r="A21" s="32" t="s">
        <v>67</v>
      </c>
      <c r="B21" s="73" t="s">
        <v>69</v>
      </c>
      <c r="C21" s="73" t="s">
        <v>70</v>
      </c>
      <c r="D21" s="63" t="s">
        <v>151</v>
      </c>
      <c r="E21" s="33">
        <v>300000</v>
      </c>
      <c r="F21" s="33">
        <v>0</v>
      </c>
      <c r="G21" s="33">
        <v>50000</v>
      </c>
      <c r="H21" s="33">
        <v>50000</v>
      </c>
      <c r="I21" s="33">
        <v>0</v>
      </c>
      <c r="J21" s="27" t="s">
        <v>77</v>
      </c>
      <c r="K21" s="33">
        <v>0</v>
      </c>
      <c r="L21" s="33">
        <v>30000</v>
      </c>
      <c r="M21" s="33">
        <v>220000</v>
      </c>
      <c r="N21" s="33">
        <v>0</v>
      </c>
      <c r="O21" s="26" t="s">
        <v>73</v>
      </c>
    </row>
    <row r="22" spans="1:15" s="28" customFormat="1" ht="18" customHeight="1">
      <c r="A22" s="91" t="s">
        <v>74</v>
      </c>
      <c r="B22" s="91"/>
      <c r="C22" s="91"/>
      <c r="D22" s="91"/>
      <c r="E22" s="34">
        <f>E19+E18+E17+E16+E15+E14+E13+E12+E20+E21</f>
        <v>4233000</v>
      </c>
      <c r="F22" s="34">
        <f>F19+F18+F17+F16+F15+F14+F13+F12+F20+F21</f>
        <v>0</v>
      </c>
      <c r="G22" s="34">
        <f>G19+G18+G17+G16+G15+G14+G13+G12+G20+G21</f>
        <v>693000</v>
      </c>
      <c r="H22" s="34">
        <f>H19+H18+H17+H16+H15+H14+H13+H12+H20+H21</f>
        <v>449000</v>
      </c>
      <c r="I22" s="34">
        <f>I19+I18+I17+I16+I15+I14+I13+I12+I20+I21</f>
        <v>244000</v>
      </c>
      <c r="J22" s="34" t="s">
        <v>66</v>
      </c>
      <c r="K22" s="34">
        <f>K19+K18+K17+K16+K15+K14+K13+K12+K20+K21</f>
        <v>0</v>
      </c>
      <c r="L22" s="34">
        <f>L19+L18+L17+L16+L15+L14+L13+L12+L20+L21</f>
        <v>820000</v>
      </c>
      <c r="M22" s="34">
        <f>M19+M18+M17+M16+M15+M14+M13+M12+M20+M21</f>
        <v>1720000</v>
      </c>
      <c r="N22" s="34">
        <f>N19+N18+N17+N16+N15+N14+N13+N12+N20+N21</f>
        <v>1000000</v>
      </c>
      <c r="O22" s="29" t="s">
        <v>66</v>
      </c>
    </row>
    <row r="23" spans="1:15" ht="78.75" customHeight="1">
      <c r="A23" s="32">
        <v>11</v>
      </c>
      <c r="B23" s="73" t="s">
        <v>71</v>
      </c>
      <c r="C23" s="32">
        <v>60013</v>
      </c>
      <c r="D23" s="27" t="s">
        <v>152</v>
      </c>
      <c r="E23" s="33">
        <v>378815</v>
      </c>
      <c r="F23" s="33">
        <v>0</v>
      </c>
      <c r="G23" s="33">
        <f>80000-10000-70000</f>
        <v>0</v>
      </c>
      <c r="H23" s="33">
        <f>G23</f>
        <v>0</v>
      </c>
      <c r="I23" s="33">
        <v>0</v>
      </c>
      <c r="J23" s="27" t="s">
        <v>77</v>
      </c>
      <c r="K23" s="33">
        <v>0</v>
      </c>
      <c r="L23" s="33">
        <f>E23-G23</f>
        <v>378815</v>
      </c>
      <c r="M23" s="33">
        <v>0</v>
      </c>
      <c r="N23" s="33">
        <v>0</v>
      </c>
      <c r="O23" s="26" t="s">
        <v>73</v>
      </c>
    </row>
    <row r="24" spans="1:15" ht="143.25" customHeight="1">
      <c r="A24" s="32">
        <v>12</v>
      </c>
      <c r="B24" s="73" t="s">
        <v>71</v>
      </c>
      <c r="C24" s="32">
        <v>60013</v>
      </c>
      <c r="D24" s="27" t="s">
        <v>153</v>
      </c>
      <c r="E24" s="33">
        <f>F24+G24+L24+M24</f>
        <v>200000</v>
      </c>
      <c r="F24" s="33">
        <v>0</v>
      </c>
      <c r="G24" s="33">
        <v>10000</v>
      </c>
      <c r="H24" s="33">
        <v>10000</v>
      </c>
      <c r="I24" s="33">
        <v>0</v>
      </c>
      <c r="J24" s="27" t="s">
        <v>77</v>
      </c>
      <c r="K24" s="33">
        <v>0</v>
      </c>
      <c r="L24" s="33">
        <v>120000</v>
      </c>
      <c r="M24" s="33">
        <v>70000</v>
      </c>
      <c r="N24" s="33">
        <v>0</v>
      </c>
      <c r="O24" s="26" t="s">
        <v>73</v>
      </c>
    </row>
    <row r="25" spans="1:15" ht="51">
      <c r="A25" s="32">
        <v>13</v>
      </c>
      <c r="B25" s="73" t="s">
        <v>71</v>
      </c>
      <c r="C25" s="32">
        <v>60016</v>
      </c>
      <c r="D25" s="27" t="s">
        <v>154</v>
      </c>
      <c r="E25" s="33">
        <f>G25+L25+M25+N25+F25</f>
        <v>144256</v>
      </c>
      <c r="F25" s="33">
        <v>44256</v>
      </c>
      <c r="G25" s="33">
        <v>50000</v>
      </c>
      <c r="H25" s="33">
        <f>G25</f>
        <v>50000</v>
      </c>
      <c r="I25" s="33">
        <v>0</v>
      </c>
      <c r="J25" s="27" t="s">
        <v>77</v>
      </c>
      <c r="K25" s="33">
        <v>0</v>
      </c>
      <c r="L25" s="33">
        <v>50000</v>
      </c>
      <c r="M25" s="33">
        <v>0</v>
      </c>
      <c r="N25" s="33">
        <v>0</v>
      </c>
      <c r="O25" s="26" t="s">
        <v>73</v>
      </c>
    </row>
    <row r="26" spans="1:15" ht="63.75">
      <c r="A26" s="32">
        <v>14</v>
      </c>
      <c r="B26" s="73" t="s">
        <v>71</v>
      </c>
      <c r="C26" s="32">
        <v>60016</v>
      </c>
      <c r="D26" s="27" t="s">
        <v>171</v>
      </c>
      <c r="E26" s="33">
        <f>G26+L26+M26+N26+F26</f>
        <v>341562</v>
      </c>
      <c r="F26" s="33">
        <v>62</v>
      </c>
      <c r="G26" s="33">
        <f>385000-34000-6000-10000-43500-132605-100000</f>
        <v>58895</v>
      </c>
      <c r="H26" s="33">
        <f>G26-I26</f>
        <v>58895</v>
      </c>
      <c r="I26" s="33">
        <v>0</v>
      </c>
      <c r="J26" s="27" t="s">
        <v>77</v>
      </c>
      <c r="K26" s="33">
        <v>0</v>
      </c>
      <c r="L26" s="33">
        <f>50000+232605</f>
        <v>282605</v>
      </c>
      <c r="M26" s="33">
        <v>0</v>
      </c>
      <c r="N26" s="33">
        <v>0</v>
      </c>
      <c r="O26" s="26" t="s">
        <v>73</v>
      </c>
    </row>
    <row r="27" spans="1:15" ht="63.75">
      <c r="A27" s="32">
        <v>15</v>
      </c>
      <c r="B27" s="73" t="s">
        <v>71</v>
      </c>
      <c r="C27" s="32">
        <v>60016</v>
      </c>
      <c r="D27" s="27" t="s">
        <v>155</v>
      </c>
      <c r="E27" s="33">
        <f aca="true" t="shared" si="1" ref="E27:E45">G27+L27+M27+N27+F27</f>
        <v>80000</v>
      </c>
      <c r="F27" s="33">
        <v>20000</v>
      </c>
      <c r="G27" s="33">
        <v>60000</v>
      </c>
      <c r="H27" s="33">
        <f>G27</f>
        <v>60000</v>
      </c>
      <c r="I27" s="33">
        <v>0</v>
      </c>
      <c r="J27" s="27" t="s">
        <v>77</v>
      </c>
      <c r="K27" s="33">
        <v>0</v>
      </c>
      <c r="L27" s="33">
        <v>0</v>
      </c>
      <c r="M27" s="33">
        <v>0</v>
      </c>
      <c r="N27" s="33">
        <v>0</v>
      </c>
      <c r="O27" s="26" t="s">
        <v>73</v>
      </c>
    </row>
    <row r="28" spans="1:15" ht="102">
      <c r="A28" s="32">
        <v>16</v>
      </c>
      <c r="B28" s="73" t="s">
        <v>71</v>
      </c>
      <c r="C28" s="32">
        <v>60016</v>
      </c>
      <c r="D28" s="27" t="s">
        <v>156</v>
      </c>
      <c r="E28" s="33">
        <f>F28+G28+L28+M28</f>
        <v>406000</v>
      </c>
      <c r="F28" s="33">
        <v>26000</v>
      </c>
      <c r="G28" s="33">
        <f>74000+6000</f>
        <v>80000</v>
      </c>
      <c r="H28" s="33">
        <f>G28</f>
        <v>80000</v>
      </c>
      <c r="I28" s="33">
        <v>0</v>
      </c>
      <c r="J28" s="27" t="s">
        <v>77</v>
      </c>
      <c r="K28" s="33">
        <v>0</v>
      </c>
      <c r="L28" s="33">
        <v>100000</v>
      </c>
      <c r="M28" s="33">
        <v>200000</v>
      </c>
      <c r="N28" s="33">
        <v>0</v>
      </c>
      <c r="O28" s="26" t="s">
        <v>73</v>
      </c>
    </row>
    <row r="29" spans="1:15" ht="57" customHeight="1">
      <c r="A29" s="32">
        <v>17</v>
      </c>
      <c r="B29" s="73" t="s">
        <v>71</v>
      </c>
      <c r="C29" s="32">
        <v>60016</v>
      </c>
      <c r="D29" s="27" t="s">
        <v>157</v>
      </c>
      <c r="E29" s="33">
        <f t="shared" si="1"/>
        <v>505000</v>
      </c>
      <c r="F29" s="33">
        <v>0</v>
      </c>
      <c r="G29" s="33">
        <f>50000-45000</f>
        <v>5000</v>
      </c>
      <c r="H29" s="33">
        <f>50000-45000</f>
        <v>5000</v>
      </c>
      <c r="I29" s="33">
        <v>0</v>
      </c>
      <c r="J29" s="27" t="s">
        <v>77</v>
      </c>
      <c r="K29" s="33">
        <v>0</v>
      </c>
      <c r="L29" s="33">
        <v>500000</v>
      </c>
      <c r="M29" s="33">
        <v>0</v>
      </c>
      <c r="N29" s="33">
        <v>0</v>
      </c>
      <c r="O29" s="26" t="s">
        <v>73</v>
      </c>
    </row>
    <row r="30" spans="1:15" ht="69.75" customHeight="1">
      <c r="A30" s="32">
        <v>18</v>
      </c>
      <c r="B30" s="38">
        <v>600</v>
      </c>
      <c r="C30" s="38">
        <v>60016</v>
      </c>
      <c r="D30" s="25" t="s">
        <v>170</v>
      </c>
      <c r="E30" s="33">
        <f t="shared" si="1"/>
        <v>400219</v>
      </c>
      <c r="F30" s="33">
        <v>219</v>
      </c>
      <c r="G30" s="71">
        <v>100000</v>
      </c>
      <c r="H30" s="33">
        <v>100000</v>
      </c>
      <c r="I30" s="33">
        <v>0</v>
      </c>
      <c r="J30" s="27" t="s">
        <v>77</v>
      </c>
      <c r="K30" s="33">
        <v>0</v>
      </c>
      <c r="L30" s="33">
        <v>300000</v>
      </c>
      <c r="M30" s="33">
        <v>0</v>
      </c>
      <c r="N30" s="33">
        <v>0</v>
      </c>
      <c r="O30" s="26" t="s">
        <v>73</v>
      </c>
    </row>
    <row r="31" spans="1:15" ht="51">
      <c r="A31" s="32">
        <v>19</v>
      </c>
      <c r="B31" s="38">
        <v>600</v>
      </c>
      <c r="C31" s="38">
        <v>60016</v>
      </c>
      <c r="D31" s="25" t="s">
        <v>158</v>
      </c>
      <c r="E31" s="33">
        <f t="shared" si="1"/>
        <v>219124</v>
      </c>
      <c r="F31" s="33">
        <v>4124</v>
      </c>
      <c r="G31" s="33">
        <f>380000-165000</f>
        <v>215000</v>
      </c>
      <c r="H31" s="33">
        <f>380000-165000</f>
        <v>215000</v>
      </c>
      <c r="I31" s="33">
        <v>0</v>
      </c>
      <c r="J31" s="27" t="s">
        <v>77</v>
      </c>
      <c r="K31" s="33">
        <v>0</v>
      </c>
      <c r="L31" s="33">
        <v>0</v>
      </c>
      <c r="M31" s="33">
        <v>0</v>
      </c>
      <c r="N31" s="33">
        <v>0</v>
      </c>
      <c r="O31" s="26" t="s">
        <v>73</v>
      </c>
    </row>
    <row r="32" spans="1:15" ht="76.5">
      <c r="A32" s="32">
        <v>20</v>
      </c>
      <c r="B32" s="38">
        <v>600</v>
      </c>
      <c r="C32" s="38">
        <v>60016</v>
      </c>
      <c r="D32" s="25" t="s">
        <v>159</v>
      </c>
      <c r="E32" s="33">
        <f t="shared" si="1"/>
        <v>85000</v>
      </c>
      <c r="F32" s="33">
        <v>0</v>
      </c>
      <c r="G32" s="33">
        <v>5000</v>
      </c>
      <c r="H32" s="33">
        <v>5000</v>
      </c>
      <c r="I32" s="33">
        <v>0</v>
      </c>
      <c r="J32" s="27" t="s">
        <v>77</v>
      </c>
      <c r="K32" s="33">
        <v>0</v>
      </c>
      <c r="L32" s="33">
        <v>80000</v>
      </c>
      <c r="M32" s="33">
        <v>0</v>
      </c>
      <c r="N32" s="33">
        <v>0</v>
      </c>
      <c r="O32" s="26" t="s">
        <v>73</v>
      </c>
    </row>
    <row r="33" spans="1:15" ht="51">
      <c r="A33" s="32">
        <v>21</v>
      </c>
      <c r="B33" s="38">
        <v>600</v>
      </c>
      <c r="C33" s="38">
        <v>60016</v>
      </c>
      <c r="D33" s="25" t="s">
        <v>160</v>
      </c>
      <c r="E33" s="33">
        <f t="shared" si="1"/>
        <v>230000</v>
      </c>
      <c r="F33" s="33">
        <v>0</v>
      </c>
      <c r="G33" s="33">
        <v>10000</v>
      </c>
      <c r="H33" s="33">
        <v>10000</v>
      </c>
      <c r="I33" s="33">
        <v>0</v>
      </c>
      <c r="J33" s="27" t="s">
        <v>77</v>
      </c>
      <c r="K33" s="33">
        <v>0</v>
      </c>
      <c r="L33" s="33">
        <v>220000</v>
      </c>
      <c r="M33" s="33">
        <v>0</v>
      </c>
      <c r="N33" s="33">
        <v>0</v>
      </c>
      <c r="O33" s="26" t="s">
        <v>73</v>
      </c>
    </row>
    <row r="34" spans="1:15" ht="54.75" customHeight="1">
      <c r="A34" s="32">
        <v>22</v>
      </c>
      <c r="B34" s="38">
        <v>600</v>
      </c>
      <c r="C34" s="38">
        <v>60016</v>
      </c>
      <c r="D34" s="25" t="s">
        <v>161</v>
      </c>
      <c r="E34" s="33">
        <f t="shared" si="1"/>
        <v>140000</v>
      </c>
      <c r="F34" s="33">
        <v>0</v>
      </c>
      <c r="G34" s="33">
        <f>H34</f>
        <v>0</v>
      </c>
      <c r="H34" s="33">
        <f>4000-4000</f>
        <v>0</v>
      </c>
      <c r="I34" s="33">
        <v>0</v>
      </c>
      <c r="J34" s="27" t="s">
        <v>77</v>
      </c>
      <c r="K34" s="33">
        <v>0</v>
      </c>
      <c r="L34" s="33">
        <v>140000</v>
      </c>
      <c r="M34" s="33">
        <v>0</v>
      </c>
      <c r="N34" s="33">
        <v>0</v>
      </c>
      <c r="O34" s="26" t="s">
        <v>73</v>
      </c>
    </row>
    <row r="35" spans="1:15" ht="51">
      <c r="A35" s="32">
        <v>23</v>
      </c>
      <c r="B35" s="38">
        <v>600</v>
      </c>
      <c r="C35" s="38">
        <v>60016</v>
      </c>
      <c r="D35" s="25" t="s">
        <v>162</v>
      </c>
      <c r="E35" s="33">
        <f t="shared" si="1"/>
        <v>306000</v>
      </c>
      <c r="F35" s="33">
        <v>0</v>
      </c>
      <c r="G35" s="33">
        <f>H35</f>
        <v>6000</v>
      </c>
      <c r="H35" s="33">
        <f>6000</f>
        <v>6000</v>
      </c>
      <c r="I35" s="33">
        <v>0</v>
      </c>
      <c r="J35" s="27" t="s">
        <v>77</v>
      </c>
      <c r="K35" s="33">
        <v>0</v>
      </c>
      <c r="L35" s="33">
        <v>300000</v>
      </c>
      <c r="M35" s="33">
        <v>0</v>
      </c>
      <c r="N35" s="33">
        <v>0</v>
      </c>
      <c r="O35" s="26" t="s">
        <v>73</v>
      </c>
    </row>
    <row r="36" spans="1:15" s="28" customFormat="1" ht="12.75">
      <c r="A36" s="87" t="s">
        <v>75</v>
      </c>
      <c r="B36" s="87"/>
      <c r="C36" s="87"/>
      <c r="D36" s="87"/>
      <c r="E36" s="34">
        <f>E28+E27+E26+E25+E23+E29+E30+E31+E32+E33+E34+E35+E24</f>
        <v>3435976</v>
      </c>
      <c r="F36" s="34">
        <f>F28+F27+F26+F25+F23+F29+F30+F31+F32+F33+F34+F35+F24</f>
        <v>94661</v>
      </c>
      <c r="G36" s="34">
        <f>G28+G27+G26+G25+G23+G29+G30+G31+G32+G33+G34+G35+G24</f>
        <v>599895</v>
      </c>
      <c r="H36" s="34">
        <f>H28+H27+H26+H25+H23+H29+H30+H31+H32+H33+H34+H35+H24</f>
        <v>599895</v>
      </c>
      <c r="I36" s="34">
        <f>I28+I27+I26+I25+I23+I29+I30+I31+I32+I33+I34+I35+I24</f>
        <v>0</v>
      </c>
      <c r="J36" s="34" t="s">
        <v>66</v>
      </c>
      <c r="K36" s="34">
        <f>K28+K27+K26+K25+K23+K29+K30+K31+K32+K33+K34+K35+K24</f>
        <v>0</v>
      </c>
      <c r="L36" s="34">
        <f>L28+L27+L26+L25+L23+L29+L30+L31+L32+L33+L34+L35+L24</f>
        <v>2471420</v>
      </c>
      <c r="M36" s="34">
        <f>M28+M27+M26+M25+M23+M29+M30+M31+M32+M33+M34+M35+M24</f>
        <v>270000</v>
      </c>
      <c r="N36" s="34">
        <f>N28+N27+N26+N25+N23+N29+N30+N31+N32+N33+N34+N35+N24</f>
        <v>0</v>
      </c>
      <c r="O36" s="29" t="s">
        <v>66</v>
      </c>
    </row>
    <row r="37" spans="1:15" s="28" customFormat="1" ht="51" customHeight="1">
      <c r="A37" s="32">
        <v>24</v>
      </c>
      <c r="B37" s="32">
        <v>700</v>
      </c>
      <c r="C37" s="32">
        <v>70095</v>
      </c>
      <c r="D37" s="25" t="s">
        <v>163</v>
      </c>
      <c r="E37" s="33">
        <f t="shared" si="1"/>
        <v>271000</v>
      </c>
      <c r="F37" s="33">
        <v>0</v>
      </c>
      <c r="G37" s="33">
        <f>70000-12500-16500-20000</f>
        <v>21000</v>
      </c>
      <c r="H37" s="33">
        <f>G37</f>
        <v>21000</v>
      </c>
      <c r="I37" s="33">
        <v>0</v>
      </c>
      <c r="J37" s="27" t="s">
        <v>77</v>
      </c>
      <c r="K37" s="33">
        <v>0</v>
      </c>
      <c r="L37" s="33">
        <v>250000</v>
      </c>
      <c r="M37" s="33">
        <v>0</v>
      </c>
      <c r="N37" s="33">
        <v>0</v>
      </c>
      <c r="O37" s="26" t="s">
        <v>73</v>
      </c>
    </row>
    <row r="38" spans="1:15" s="28" customFormat="1" ht="114.75">
      <c r="A38" s="32">
        <v>25</v>
      </c>
      <c r="B38" s="32">
        <v>700</v>
      </c>
      <c r="C38" s="32">
        <v>70095</v>
      </c>
      <c r="D38" s="25" t="s">
        <v>164</v>
      </c>
      <c r="E38" s="33">
        <f t="shared" si="1"/>
        <v>112500</v>
      </c>
      <c r="F38" s="33">
        <v>0</v>
      </c>
      <c r="G38" s="33">
        <v>12500</v>
      </c>
      <c r="H38" s="33">
        <v>12500</v>
      </c>
      <c r="I38" s="33">
        <v>0</v>
      </c>
      <c r="J38" s="27" t="s">
        <v>77</v>
      </c>
      <c r="K38" s="33">
        <v>0</v>
      </c>
      <c r="L38" s="33">
        <v>100000</v>
      </c>
      <c r="M38" s="33">
        <v>0</v>
      </c>
      <c r="N38" s="33">
        <v>0</v>
      </c>
      <c r="O38" s="26" t="s">
        <v>73</v>
      </c>
    </row>
    <row r="39" spans="1:15" s="28" customFormat="1" ht="12.75">
      <c r="A39" s="87" t="s">
        <v>82</v>
      </c>
      <c r="B39" s="87"/>
      <c r="C39" s="87"/>
      <c r="D39" s="87"/>
      <c r="E39" s="34">
        <f>E37+E38</f>
        <v>383500</v>
      </c>
      <c r="F39" s="34">
        <f>F37+F38</f>
        <v>0</v>
      </c>
      <c r="G39" s="34">
        <f>G37+G38</f>
        <v>33500</v>
      </c>
      <c r="H39" s="34">
        <f>H37+H38</f>
        <v>33500</v>
      </c>
      <c r="I39" s="34">
        <f>I37+I38</f>
        <v>0</v>
      </c>
      <c r="J39" s="34" t="s">
        <v>66</v>
      </c>
      <c r="K39" s="34">
        <f>K37</f>
        <v>0</v>
      </c>
      <c r="L39" s="34">
        <f>L38+L37</f>
        <v>350000</v>
      </c>
      <c r="M39" s="34">
        <f>M37</f>
        <v>0</v>
      </c>
      <c r="N39" s="34">
        <f>N37</f>
        <v>0</v>
      </c>
      <c r="O39" s="34" t="s">
        <v>66</v>
      </c>
    </row>
    <row r="40" spans="1:15" ht="89.25">
      <c r="A40" s="26">
        <v>26</v>
      </c>
      <c r="B40" s="26">
        <v>801</v>
      </c>
      <c r="C40" s="26">
        <v>80101</v>
      </c>
      <c r="D40" s="63" t="s">
        <v>165</v>
      </c>
      <c r="E40" s="33">
        <f>G40+F40+L40</f>
        <v>420000</v>
      </c>
      <c r="F40" s="33">
        <v>0</v>
      </c>
      <c r="G40" s="33">
        <f>255000-85000</f>
        <v>170000</v>
      </c>
      <c r="H40" s="33">
        <v>0</v>
      </c>
      <c r="I40" s="33">
        <v>170000</v>
      </c>
      <c r="J40" s="27" t="s">
        <v>77</v>
      </c>
      <c r="K40" s="33">
        <v>0</v>
      </c>
      <c r="L40" s="33">
        <v>250000</v>
      </c>
      <c r="M40" s="33">
        <v>0</v>
      </c>
      <c r="N40" s="33">
        <v>0</v>
      </c>
      <c r="O40" s="26" t="s">
        <v>73</v>
      </c>
    </row>
    <row r="41" spans="1:15" ht="102">
      <c r="A41" s="26">
        <v>27</v>
      </c>
      <c r="B41" s="26">
        <v>801</v>
      </c>
      <c r="C41" s="26">
        <v>80110</v>
      </c>
      <c r="D41" s="63" t="s">
        <v>166</v>
      </c>
      <c r="E41" s="33">
        <f>F41+G41+L41</f>
        <v>257000</v>
      </c>
      <c r="F41" s="33">
        <v>0</v>
      </c>
      <c r="G41" s="33">
        <v>7000</v>
      </c>
      <c r="H41" s="33">
        <v>7000</v>
      </c>
      <c r="I41" s="33">
        <v>0</v>
      </c>
      <c r="J41" s="27" t="s">
        <v>77</v>
      </c>
      <c r="K41" s="33">
        <v>0</v>
      </c>
      <c r="L41" s="33">
        <v>250000</v>
      </c>
      <c r="M41" s="33">
        <v>0</v>
      </c>
      <c r="N41" s="33">
        <v>0</v>
      </c>
      <c r="O41" s="26" t="s">
        <v>73</v>
      </c>
    </row>
    <row r="42" spans="1:15" s="28" customFormat="1" ht="51" customHeight="1">
      <c r="A42" s="86" t="s">
        <v>106</v>
      </c>
      <c r="B42" s="86"/>
      <c r="C42" s="86"/>
      <c r="D42" s="86"/>
      <c r="E42" s="34">
        <f>E40+E41</f>
        <v>677000</v>
      </c>
      <c r="F42" s="34">
        <f aca="true" t="shared" si="2" ref="F42:N42">F40+F41</f>
        <v>0</v>
      </c>
      <c r="G42" s="34">
        <f t="shared" si="2"/>
        <v>177000</v>
      </c>
      <c r="H42" s="34">
        <f t="shared" si="2"/>
        <v>7000</v>
      </c>
      <c r="I42" s="34">
        <f t="shared" si="2"/>
        <v>170000</v>
      </c>
      <c r="J42" s="34" t="s">
        <v>66</v>
      </c>
      <c r="K42" s="34">
        <f t="shared" si="2"/>
        <v>0</v>
      </c>
      <c r="L42" s="34">
        <f t="shared" si="2"/>
        <v>500000</v>
      </c>
      <c r="M42" s="34">
        <f t="shared" si="2"/>
        <v>0</v>
      </c>
      <c r="N42" s="34">
        <f t="shared" si="2"/>
        <v>0</v>
      </c>
      <c r="O42" s="34" t="s">
        <v>66</v>
      </c>
    </row>
    <row r="43" spans="1:15" ht="70.5" customHeight="1">
      <c r="A43" s="32">
        <v>28</v>
      </c>
      <c r="B43" s="73" t="s">
        <v>72</v>
      </c>
      <c r="C43" s="32">
        <v>90015</v>
      </c>
      <c r="D43" s="25" t="s">
        <v>167</v>
      </c>
      <c r="E43" s="33">
        <f t="shared" si="1"/>
        <v>56986</v>
      </c>
      <c r="F43" s="33">
        <v>986</v>
      </c>
      <c r="G43" s="33">
        <f>75000-11000-8000</f>
        <v>56000</v>
      </c>
      <c r="H43" s="33">
        <f>G43</f>
        <v>56000</v>
      </c>
      <c r="I43" s="33">
        <v>0</v>
      </c>
      <c r="J43" s="27" t="s">
        <v>77</v>
      </c>
      <c r="K43" s="33">
        <v>0</v>
      </c>
      <c r="L43" s="33">
        <v>0</v>
      </c>
      <c r="M43" s="33">
        <v>0</v>
      </c>
      <c r="N43" s="33">
        <v>0</v>
      </c>
      <c r="O43" s="26" t="s">
        <v>73</v>
      </c>
    </row>
    <row r="44" spans="1:15" ht="102">
      <c r="A44" s="32">
        <v>29</v>
      </c>
      <c r="B44" s="73" t="s">
        <v>72</v>
      </c>
      <c r="C44" s="32">
        <v>90015</v>
      </c>
      <c r="D44" s="25" t="s">
        <v>168</v>
      </c>
      <c r="E44" s="33">
        <f t="shared" si="1"/>
        <v>34000</v>
      </c>
      <c r="F44" s="33">
        <v>0</v>
      </c>
      <c r="G44" s="33">
        <v>4000</v>
      </c>
      <c r="H44" s="33">
        <v>4000</v>
      </c>
      <c r="I44" s="33">
        <v>0</v>
      </c>
      <c r="J44" s="27" t="s">
        <v>77</v>
      </c>
      <c r="K44" s="33">
        <v>0</v>
      </c>
      <c r="L44" s="33">
        <v>30000</v>
      </c>
      <c r="M44" s="33">
        <v>0</v>
      </c>
      <c r="N44" s="33">
        <v>0</v>
      </c>
      <c r="O44" s="26" t="s">
        <v>73</v>
      </c>
    </row>
    <row r="45" spans="1:15" ht="89.25">
      <c r="A45" s="32">
        <v>30</v>
      </c>
      <c r="B45" s="73" t="s">
        <v>72</v>
      </c>
      <c r="C45" s="32">
        <v>90095</v>
      </c>
      <c r="D45" s="25" t="s">
        <v>172</v>
      </c>
      <c r="E45" s="33">
        <f t="shared" si="1"/>
        <v>92000</v>
      </c>
      <c r="F45" s="33">
        <v>0</v>
      </c>
      <c r="G45" s="33">
        <v>2000</v>
      </c>
      <c r="H45" s="33">
        <v>2000</v>
      </c>
      <c r="I45" s="33">
        <v>0</v>
      </c>
      <c r="J45" s="27" t="s">
        <v>77</v>
      </c>
      <c r="K45" s="33">
        <v>0</v>
      </c>
      <c r="L45" s="33">
        <v>90000</v>
      </c>
      <c r="M45" s="33"/>
      <c r="N45" s="33"/>
      <c r="O45" s="26" t="s">
        <v>73</v>
      </c>
    </row>
    <row r="46" spans="1:15" s="28" customFormat="1" ht="12.75">
      <c r="A46" s="87" t="s">
        <v>76</v>
      </c>
      <c r="B46" s="87"/>
      <c r="C46" s="87"/>
      <c r="D46" s="87"/>
      <c r="E46" s="34">
        <f>E43+E44+E45</f>
        <v>182986</v>
      </c>
      <c r="F46" s="34">
        <f>F43+F44+F45</f>
        <v>986</v>
      </c>
      <c r="G46" s="34">
        <f>G43+G44+G45</f>
        <v>62000</v>
      </c>
      <c r="H46" s="34">
        <f>H43+H44+H45</f>
        <v>62000</v>
      </c>
      <c r="I46" s="34">
        <f>I43+I44+I45</f>
        <v>0</v>
      </c>
      <c r="J46" s="35" t="s">
        <v>66</v>
      </c>
      <c r="K46" s="34">
        <f>K43</f>
        <v>0</v>
      </c>
      <c r="L46" s="34">
        <f>L44+L45</f>
        <v>120000</v>
      </c>
      <c r="M46" s="34">
        <f>M44+M45</f>
        <v>0</v>
      </c>
      <c r="N46" s="34">
        <f>N44+N45</f>
        <v>0</v>
      </c>
      <c r="O46" s="35" t="s">
        <v>66</v>
      </c>
    </row>
    <row r="47" spans="1:15" ht="225.75" customHeight="1">
      <c r="A47" s="26">
        <v>31</v>
      </c>
      <c r="B47" s="63">
        <v>926</v>
      </c>
      <c r="C47" s="63">
        <v>92601</v>
      </c>
      <c r="D47" s="63" t="s">
        <v>169</v>
      </c>
      <c r="E47" s="33">
        <f>F47+G47+L47</f>
        <v>978000</v>
      </c>
      <c r="F47" s="33">
        <v>0</v>
      </c>
      <c r="G47" s="33">
        <f>50000-22000</f>
        <v>28000</v>
      </c>
      <c r="H47" s="33">
        <v>0</v>
      </c>
      <c r="I47" s="33">
        <f>50000-22000</f>
        <v>28000</v>
      </c>
      <c r="J47" s="27" t="s">
        <v>77</v>
      </c>
      <c r="K47" s="33">
        <v>0</v>
      </c>
      <c r="L47" s="33">
        <v>950000</v>
      </c>
      <c r="M47" s="33">
        <v>0</v>
      </c>
      <c r="N47" s="33">
        <v>0</v>
      </c>
      <c r="O47" s="26" t="s">
        <v>73</v>
      </c>
    </row>
    <row r="48" spans="1:15" s="28" customFormat="1" ht="20.25" customHeight="1">
      <c r="A48" s="86" t="s">
        <v>118</v>
      </c>
      <c r="B48" s="86"/>
      <c r="C48" s="86"/>
      <c r="D48" s="86"/>
      <c r="E48" s="34">
        <f>E47</f>
        <v>978000</v>
      </c>
      <c r="F48" s="34">
        <f aca="true" t="shared" si="3" ref="F48:N48">F47</f>
        <v>0</v>
      </c>
      <c r="G48" s="34">
        <f t="shared" si="3"/>
        <v>28000</v>
      </c>
      <c r="H48" s="34">
        <f t="shared" si="3"/>
        <v>0</v>
      </c>
      <c r="I48" s="34">
        <f t="shared" si="3"/>
        <v>28000</v>
      </c>
      <c r="J48" s="34" t="s">
        <v>66</v>
      </c>
      <c r="K48" s="34">
        <f t="shared" si="3"/>
        <v>0</v>
      </c>
      <c r="L48" s="34">
        <f t="shared" si="3"/>
        <v>950000</v>
      </c>
      <c r="M48" s="34">
        <f t="shared" si="3"/>
        <v>0</v>
      </c>
      <c r="N48" s="34">
        <f t="shared" si="3"/>
        <v>0</v>
      </c>
      <c r="O48" s="35" t="s">
        <v>66</v>
      </c>
    </row>
    <row r="49" spans="1:15" s="31" customFormat="1" ht="22.5" customHeight="1">
      <c r="A49" s="88" t="s">
        <v>60</v>
      </c>
      <c r="B49" s="88"/>
      <c r="C49" s="88"/>
      <c r="D49" s="88"/>
      <c r="E49" s="36">
        <f>E46+E39+E36+E22+E48+E42</f>
        <v>9890462</v>
      </c>
      <c r="F49" s="36">
        <f>F46+F39+F36+F22+F48+F42</f>
        <v>95647</v>
      </c>
      <c r="G49" s="36">
        <f>G46+G39+G36+G22+G48+G42</f>
        <v>1593395</v>
      </c>
      <c r="H49" s="36">
        <f>H46+H39+H36+H22+H48+H42</f>
        <v>1151395</v>
      </c>
      <c r="I49" s="36">
        <f>I46+I39+I36+I22+I48+I42</f>
        <v>442000</v>
      </c>
      <c r="J49" s="36" t="s">
        <v>66</v>
      </c>
      <c r="K49" s="36">
        <f>K46+K39+K36+K22+K48+K42</f>
        <v>0</v>
      </c>
      <c r="L49" s="36">
        <f>L46+L39+L36+L22+L48+L42</f>
        <v>5211420</v>
      </c>
      <c r="M49" s="36">
        <f>M46+M39+M36+M22+M48+M42</f>
        <v>1990000</v>
      </c>
      <c r="N49" s="36">
        <f>N46+N39+N36+N22+N48+N42</f>
        <v>1000000</v>
      </c>
      <c r="O49" s="37" t="s">
        <v>66</v>
      </c>
    </row>
    <row r="50" ht="12.75">
      <c r="G50" s="84"/>
    </row>
    <row r="51" spans="5:8" ht="12.75">
      <c r="E51" s="84"/>
      <c r="F51" s="84"/>
      <c r="G51" s="84"/>
      <c r="H51" s="84"/>
    </row>
    <row r="52" spans="5:9" ht="12.75">
      <c r="E52" s="84"/>
      <c r="F52" s="84"/>
      <c r="G52" s="84"/>
      <c r="I52" s="84"/>
    </row>
    <row r="53" spans="5:9" ht="12.75">
      <c r="E53" s="84"/>
      <c r="F53" s="84"/>
      <c r="G53" s="84"/>
      <c r="I53" s="84"/>
    </row>
    <row r="54" spans="6:10" ht="12.75">
      <c r="F54" s="84"/>
      <c r="G54" s="84"/>
      <c r="J54" s="84"/>
    </row>
    <row r="55" ht="12.75">
      <c r="G55" s="84"/>
    </row>
    <row r="56" ht="12.75">
      <c r="E56" s="84"/>
    </row>
    <row r="57" ht="12.75">
      <c r="G57" s="84"/>
    </row>
    <row r="66" ht="12.75">
      <c r="G66" s="84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workbookViewId="0" topLeftCell="A1">
      <selection activeCell="K58" sqref="K58"/>
    </sheetView>
  </sheetViews>
  <sheetFormatPr defaultColWidth="9.00390625" defaultRowHeight="12.75"/>
  <cols>
    <col min="1" max="1" width="5.625" style="69" customWidth="1"/>
    <col min="2" max="2" width="6.875" style="69" customWidth="1"/>
    <col min="3" max="3" width="7.75390625" style="69" customWidth="1"/>
    <col min="4" max="4" width="16.00390625" style="69" customWidth="1"/>
    <col min="5" max="5" width="12.00390625" style="69" customWidth="1"/>
    <col min="6" max="6" width="12.75390625" style="69" customWidth="1"/>
    <col min="7" max="7" width="11.625" style="69" customWidth="1"/>
    <col min="8" max="8" width="10.125" style="69" customWidth="1"/>
    <col min="9" max="9" width="13.125" style="69" customWidth="1"/>
    <col min="10" max="10" width="14.375" style="69" customWidth="1"/>
    <col min="11" max="11" width="16.75390625" style="69" customWidth="1"/>
    <col min="12" max="16384" width="9.125" style="69" customWidth="1"/>
  </cols>
  <sheetData>
    <row r="1" spans="7:11" ht="12.75" customHeight="1">
      <c r="G1" s="95" t="s">
        <v>186</v>
      </c>
      <c r="H1" s="95"/>
      <c r="I1" s="95"/>
      <c r="J1" s="95"/>
      <c r="K1" s="95"/>
    </row>
    <row r="2" spans="7:11" ht="25.5" customHeight="1">
      <c r="G2" s="95"/>
      <c r="H2" s="95"/>
      <c r="I2" s="95"/>
      <c r="J2" s="95"/>
      <c r="K2" s="95"/>
    </row>
    <row r="3" spans="1:11" ht="18">
      <c r="A3" s="92" t="s">
        <v>115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0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6" t="s">
        <v>26</v>
      </c>
    </row>
    <row r="5" spans="1:11" s="22" customFormat="1" ht="19.5" customHeight="1">
      <c r="A5" s="96" t="s">
        <v>36</v>
      </c>
      <c r="B5" s="96" t="s">
        <v>2</v>
      </c>
      <c r="C5" s="96" t="s">
        <v>25</v>
      </c>
      <c r="D5" s="94" t="s">
        <v>68</v>
      </c>
      <c r="E5" s="94" t="s">
        <v>37</v>
      </c>
      <c r="F5" s="94" t="s">
        <v>46</v>
      </c>
      <c r="G5" s="94"/>
      <c r="H5" s="94"/>
      <c r="I5" s="94"/>
      <c r="J5" s="94"/>
      <c r="K5" s="94" t="s">
        <v>41</v>
      </c>
    </row>
    <row r="6" spans="1:11" s="22" customFormat="1" ht="19.5" customHeight="1">
      <c r="A6" s="96"/>
      <c r="B6" s="96"/>
      <c r="C6" s="96"/>
      <c r="D6" s="94"/>
      <c r="E6" s="94"/>
      <c r="F6" s="94" t="s">
        <v>55</v>
      </c>
      <c r="G6" s="94" t="s">
        <v>17</v>
      </c>
      <c r="H6" s="94"/>
      <c r="I6" s="94"/>
      <c r="J6" s="94"/>
      <c r="K6" s="94"/>
    </row>
    <row r="7" spans="1:11" s="22" customFormat="1" ht="29.25" customHeight="1">
      <c r="A7" s="96"/>
      <c r="B7" s="96"/>
      <c r="C7" s="96"/>
      <c r="D7" s="94"/>
      <c r="E7" s="94"/>
      <c r="F7" s="94"/>
      <c r="G7" s="94" t="s">
        <v>63</v>
      </c>
      <c r="H7" s="94" t="s">
        <v>56</v>
      </c>
      <c r="I7" s="94" t="s">
        <v>65</v>
      </c>
      <c r="J7" s="94" t="s">
        <v>57</v>
      </c>
      <c r="K7" s="94"/>
    </row>
    <row r="8" spans="1:11" s="22" customFormat="1" ht="19.5" customHeight="1">
      <c r="A8" s="96"/>
      <c r="B8" s="96"/>
      <c r="C8" s="96"/>
      <c r="D8" s="94"/>
      <c r="E8" s="94"/>
      <c r="F8" s="94"/>
      <c r="G8" s="94"/>
      <c r="H8" s="94"/>
      <c r="I8" s="94"/>
      <c r="J8" s="94"/>
      <c r="K8" s="94"/>
    </row>
    <row r="9" spans="1:11" s="22" customFormat="1" ht="19.5" customHeight="1">
      <c r="A9" s="96"/>
      <c r="B9" s="96"/>
      <c r="C9" s="96"/>
      <c r="D9" s="94"/>
      <c r="E9" s="94"/>
      <c r="F9" s="94"/>
      <c r="G9" s="94"/>
      <c r="H9" s="94"/>
      <c r="I9" s="94"/>
      <c r="J9" s="94"/>
      <c r="K9" s="94"/>
    </row>
    <row r="10" spans="1:11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  <c r="K10" s="53">
        <v>11</v>
      </c>
    </row>
    <row r="11" spans="1:11" ht="54" customHeight="1">
      <c r="A11" s="53">
        <v>1</v>
      </c>
      <c r="B11" s="54" t="s">
        <v>69</v>
      </c>
      <c r="C11" s="54" t="s">
        <v>70</v>
      </c>
      <c r="D11" s="63" t="s">
        <v>105</v>
      </c>
      <c r="E11" s="56">
        <f>F11</f>
        <v>23000</v>
      </c>
      <c r="F11" s="56">
        <f>480000-450000-7000</f>
        <v>23000</v>
      </c>
      <c r="G11" s="56">
        <f>F11-H11</f>
        <v>16000</v>
      </c>
      <c r="H11" s="56">
        <v>7000</v>
      </c>
      <c r="I11" s="27" t="s">
        <v>79</v>
      </c>
      <c r="J11" s="53">
        <v>0</v>
      </c>
      <c r="K11" s="38" t="s">
        <v>80</v>
      </c>
    </row>
    <row r="12" spans="1:11" s="28" customFormat="1" ht="12" customHeight="1">
      <c r="A12" s="91" t="s">
        <v>74</v>
      </c>
      <c r="B12" s="91"/>
      <c r="C12" s="91"/>
      <c r="D12" s="91"/>
      <c r="E12" s="57">
        <f>SUM(E11:E11)</f>
        <v>23000</v>
      </c>
      <c r="F12" s="57">
        <f>SUM(F11:F11)</f>
        <v>23000</v>
      </c>
      <c r="G12" s="57">
        <f>SUM(G11:G11)</f>
        <v>16000</v>
      </c>
      <c r="H12" s="57">
        <f>SUM(H11:H11)</f>
        <v>7000</v>
      </c>
      <c r="I12" s="57" t="s">
        <v>66</v>
      </c>
      <c r="J12" s="57">
        <f>SUM(J11:J11)</f>
        <v>0</v>
      </c>
      <c r="K12" s="55" t="s">
        <v>66</v>
      </c>
    </row>
    <row r="13" spans="1:11" ht="52.5" customHeight="1">
      <c r="A13" s="38">
        <v>2</v>
      </c>
      <c r="B13" s="38">
        <v>600</v>
      </c>
      <c r="C13" s="38">
        <v>60013</v>
      </c>
      <c r="D13" s="25" t="s">
        <v>114</v>
      </c>
      <c r="E13" s="56">
        <v>80000</v>
      </c>
      <c r="F13" s="56">
        <v>80000</v>
      </c>
      <c r="G13" s="56">
        <f>F13</f>
        <v>80000</v>
      </c>
      <c r="H13" s="56">
        <v>0</v>
      </c>
      <c r="I13" s="27" t="s">
        <v>79</v>
      </c>
      <c r="J13" s="56">
        <v>0</v>
      </c>
      <c r="K13" s="38" t="s">
        <v>80</v>
      </c>
    </row>
    <row r="14" spans="1:11" ht="109.5" customHeight="1">
      <c r="A14" s="38">
        <v>3</v>
      </c>
      <c r="B14" s="38">
        <v>600</v>
      </c>
      <c r="C14" s="38">
        <v>60013</v>
      </c>
      <c r="D14" s="25" t="s">
        <v>176</v>
      </c>
      <c r="E14" s="56">
        <f>F14</f>
        <v>42000</v>
      </c>
      <c r="F14" s="56">
        <v>42000</v>
      </c>
      <c r="G14" s="56">
        <v>0</v>
      </c>
      <c r="H14" s="56">
        <v>42000</v>
      </c>
      <c r="I14" s="27" t="s">
        <v>79</v>
      </c>
      <c r="J14" s="56">
        <v>0</v>
      </c>
      <c r="K14" s="38" t="s">
        <v>80</v>
      </c>
    </row>
    <row r="15" spans="1:11" s="70" customFormat="1" ht="56.25" customHeight="1">
      <c r="A15" s="38">
        <v>4</v>
      </c>
      <c r="B15" s="38">
        <v>600</v>
      </c>
      <c r="C15" s="38">
        <v>60016</v>
      </c>
      <c r="D15" s="25" t="s">
        <v>107</v>
      </c>
      <c r="E15" s="64">
        <f>F15</f>
        <v>83000</v>
      </c>
      <c r="F15" s="64">
        <f>90000-7000</f>
        <v>83000</v>
      </c>
      <c r="G15" s="64">
        <v>0</v>
      </c>
      <c r="H15" s="64">
        <f>F15</f>
        <v>83000</v>
      </c>
      <c r="I15" s="27" t="s">
        <v>79</v>
      </c>
      <c r="J15" s="65">
        <v>0</v>
      </c>
      <c r="K15" s="38" t="s">
        <v>80</v>
      </c>
    </row>
    <row r="16" spans="1:11" s="70" customFormat="1" ht="54" customHeight="1">
      <c r="A16" s="38">
        <v>5</v>
      </c>
      <c r="B16" s="38">
        <v>600</v>
      </c>
      <c r="C16" s="38">
        <v>60016</v>
      </c>
      <c r="D16" s="25" t="s">
        <v>108</v>
      </c>
      <c r="E16" s="64">
        <v>128000</v>
      </c>
      <c r="F16" s="64">
        <f>190000-62000</f>
        <v>128000</v>
      </c>
      <c r="G16" s="64">
        <v>0</v>
      </c>
      <c r="H16" s="64">
        <v>98000</v>
      </c>
      <c r="I16" s="27" t="s">
        <v>141</v>
      </c>
      <c r="J16" s="65">
        <v>0</v>
      </c>
      <c r="K16" s="38" t="s">
        <v>80</v>
      </c>
    </row>
    <row r="17" spans="1:11" s="70" customFormat="1" ht="54" customHeight="1">
      <c r="A17" s="38">
        <v>6</v>
      </c>
      <c r="B17" s="38">
        <v>600</v>
      </c>
      <c r="C17" s="38">
        <v>60016</v>
      </c>
      <c r="D17" s="25" t="s">
        <v>122</v>
      </c>
      <c r="E17" s="64">
        <v>56000</v>
      </c>
      <c r="F17" s="64">
        <f>62000-6000</f>
        <v>56000</v>
      </c>
      <c r="G17" s="64">
        <v>56000</v>
      </c>
      <c r="H17" s="64">
        <v>0</v>
      </c>
      <c r="I17" s="27" t="s">
        <v>79</v>
      </c>
      <c r="J17" s="65">
        <v>0</v>
      </c>
      <c r="K17" s="38" t="s">
        <v>80</v>
      </c>
    </row>
    <row r="18" spans="1:11" s="70" customFormat="1" ht="72" customHeight="1">
      <c r="A18" s="38">
        <v>7</v>
      </c>
      <c r="B18" s="38">
        <v>600</v>
      </c>
      <c r="C18" s="38">
        <v>60016</v>
      </c>
      <c r="D18" s="25" t="s">
        <v>109</v>
      </c>
      <c r="E18" s="64">
        <v>180000</v>
      </c>
      <c r="F18" s="64">
        <v>180000</v>
      </c>
      <c r="G18" s="64">
        <v>180000</v>
      </c>
      <c r="H18" s="64">
        <v>0</v>
      </c>
      <c r="I18" s="27" t="s">
        <v>79</v>
      </c>
      <c r="J18" s="65">
        <v>0</v>
      </c>
      <c r="K18" s="38" t="s">
        <v>80</v>
      </c>
    </row>
    <row r="19" spans="1:11" s="70" customFormat="1" ht="72" customHeight="1">
      <c r="A19" s="38">
        <v>8</v>
      </c>
      <c r="B19" s="38">
        <v>600</v>
      </c>
      <c r="C19" s="38">
        <v>60016</v>
      </c>
      <c r="D19" s="25" t="s">
        <v>128</v>
      </c>
      <c r="E19" s="64">
        <f aca="true" t="shared" si="0" ref="E19:E24">F19</f>
        <v>30000</v>
      </c>
      <c r="F19" s="64">
        <v>30000</v>
      </c>
      <c r="G19" s="64">
        <v>0</v>
      </c>
      <c r="H19" s="64">
        <v>30000</v>
      </c>
      <c r="I19" s="27" t="s">
        <v>79</v>
      </c>
      <c r="J19" s="65">
        <v>0</v>
      </c>
      <c r="K19" s="38" t="s">
        <v>80</v>
      </c>
    </row>
    <row r="20" spans="1:11" s="70" customFormat="1" ht="72" customHeight="1">
      <c r="A20" s="38">
        <v>9</v>
      </c>
      <c r="B20" s="38">
        <v>600</v>
      </c>
      <c r="C20" s="38">
        <v>60016</v>
      </c>
      <c r="D20" s="25" t="s">
        <v>135</v>
      </c>
      <c r="E20" s="64">
        <f t="shared" si="0"/>
        <v>10000</v>
      </c>
      <c r="F20" s="64">
        <v>10000</v>
      </c>
      <c r="G20" s="64">
        <v>10000</v>
      </c>
      <c r="H20" s="64">
        <v>0</v>
      </c>
      <c r="I20" s="27" t="s">
        <v>79</v>
      </c>
      <c r="J20" s="65">
        <v>0</v>
      </c>
      <c r="K20" s="38" t="s">
        <v>80</v>
      </c>
    </row>
    <row r="21" spans="1:11" s="70" customFormat="1" ht="72" customHeight="1">
      <c r="A21" s="38">
        <v>10</v>
      </c>
      <c r="B21" s="38">
        <v>600</v>
      </c>
      <c r="C21" s="38">
        <v>60016</v>
      </c>
      <c r="D21" s="25" t="s">
        <v>129</v>
      </c>
      <c r="E21" s="64">
        <f t="shared" si="0"/>
        <v>98000</v>
      </c>
      <c r="F21" s="64">
        <f>H21</f>
        <v>98000</v>
      </c>
      <c r="G21" s="64">
        <v>0</v>
      </c>
      <c r="H21" s="64">
        <f>140000-42000</f>
        <v>98000</v>
      </c>
      <c r="I21" s="27" t="s">
        <v>79</v>
      </c>
      <c r="J21" s="65">
        <v>0</v>
      </c>
      <c r="K21" s="38" t="s">
        <v>80</v>
      </c>
    </row>
    <row r="22" spans="1:11" s="70" customFormat="1" ht="72" customHeight="1">
      <c r="A22" s="38">
        <v>11</v>
      </c>
      <c r="B22" s="38">
        <v>600</v>
      </c>
      <c r="C22" s="38">
        <v>60016</v>
      </c>
      <c r="D22" s="25" t="s">
        <v>137</v>
      </c>
      <c r="E22" s="64">
        <f t="shared" si="0"/>
        <v>135000</v>
      </c>
      <c r="F22" s="64">
        <v>135000</v>
      </c>
      <c r="G22" s="64">
        <v>135000</v>
      </c>
      <c r="H22" s="64">
        <v>0</v>
      </c>
      <c r="I22" s="27" t="s">
        <v>79</v>
      </c>
      <c r="J22" s="65">
        <v>0</v>
      </c>
      <c r="K22" s="38" t="s">
        <v>80</v>
      </c>
    </row>
    <row r="23" spans="1:11" s="70" customFormat="1" ht="72" customHeight="1">
      <c r="A23" s="38">
        <v>12</v>
      </c>
      <c r="B23" s="38">
        <v>600</v>
      </c>
      <c r="C23" s="38">
        <v>60016</v>
      </c>
      <c r="D23" s="25" t="s">
        <v>140</v>
      </c>
      <c r="E23" s="64">
        <f t="shared" si="0"/>
        <v>153000</v>
      </c>
      <c r="F23" s="64">
        <f>70000+60000+23000</f>
        <v>153000</v>
      </c>
      <c r="G23" s="64">
        <f>F23</f>
        <v>153000</v>
      </c>
      <c r="H23" s="64">
        <v>0</v>
      </c>
      <c r="I23" s="27" t="s">
        <v>79</v>
      </c>
      <c r="J23" s="65">
        <v>0</v>
      </c>
      <c r="K23" s="38" t="s">
        <v>80</v>
      </c>
    </row>
    <row r="24" spans="1:12" s="70" customFormat="1" ht="72" customHeight="1">
      <c r="A24" s="38">
        <v>13</v>
      </c>
      <c r="B24" s="38">
        <v>600</v>
      </c>
      <c r="C24" s="38">
        <v>60016</v>
      </c>
      <c r="D24" s="25" t="s">
        <v>130</v>
      </c>
      <c r="E24" s="64">
        <f t="shared" si="0"/>
        <v>151000</v>
      </c>
      <c r="F24" s="64">
        <f>105000+46000</f>
        <v>151000</v>
      </c>
      <c r="G24" s="64">
        <f>15154+46000</f>
        <v>61154</v>
      </c>
      <c r="H24" s="64">
        <v>89846</v>
      </c>
      <c r="I24" s="27" t="s">
        <v>79</v>
      </c>
      <c r="J24" s="65">
        <v>0</v>
      </c>
      <c r="K24" s="38" t="s">
        <v>80</v>
      </c>
      <c r="L24" s="83"/>
    </row>
    <row r="25" spans="1:12" s="70" customFormat="1" ht="52.5" customHeight="1">
      <c r="A25" s="38">
        <v>14</v>
      </c>
      <c r="B25" s="38">
        <v>600</v>
      </c>
      <c r="C25" s="38">
        <v>60016</v>
      </c>
      <c r="D25" s="25" t="s">
        <v>179</v>
      </c>
      <c r="E25" s="64">
        <v>190000</v>
      </c>
      <c r="F25" s="64">
        <v>190000</v>
      </c>
      <c r="G25" s="64">
        <v>190000</v>
      </c>
      <c r="H25" s="64">
        <v>0</v>
      </c>
      <c r="I25" s="27" t="s">
        <v>79</v>
      </c>
      <c r="J25" s="65">
        <v>0</v>
      </c>
      <c r="K25" s="38" t="s">
        <v>80</v>
      </c>
      <c r="L25" s="83"/>
    </row>
    <row r="26" spans="1:12" s="70" customFormat="1" ht="52.5" customHeight="1">
      <c r="A26" s="38">
        <v>15</v>
      </c>
      <c r="B26" s="38">
        <v>600</v>
      </c>
      <c r="C26" s="38">
        <v>60016</v>
      </c>
      <c r="D26" s="25" t="s">
        <v>185</v>
      </c>
      <c r="E26" s="64">
        <v>7500</v>
      </c>
      <c r="F26" s="64">
        <v>7500</v>
      </c>
      <c r="G26" s="64">
        <v>7500</v>
      </c>
      <c r="H26" s="64">
        <v>0</v>
      </c>
      <c r="I26" s="27" t="s">
        <v>79</v>
      </c>
      <c r="J26" s="65">
        <v>0</v>
      </c>
      <c r="K26" s="38" t="s">
        <v>80</v>
      </c>
      <c r="L26" s="83"/>
    </row>
    <row r="27" spans="1:12" s="67" customFormat="1" ht="53.25" customHeight="1">
      <c r="A27" s="91" t="s">
        <v>75</v>
      </c>
      <c r="B27" s="91"/>
      <c r="C27" s="91"/>
      <c r="D27" s="91"/>
      <c r="E27" s="66">
        <f>E18+E16+E15+E13+E17+E19+E20+E21+E24+E22+E23+E14+E25+E26</f>
        <v>1343500</v>
      </c>
      <c r="F27" s="66">
        <f>F18+F16+F15+F13+F17+F19+F20+F21+F24+F22+F23+F14+F25+F26</f>
        <v>1343500</v>
      </c>
      <c r="G27" s="66">
        <f>G18+G16+G15+G13+G17+G19+G20+G21+G24+G22+G23+G14+G25+G26</f>
        <v>872654</v>
      </c>
      <c r="H27" s="66">
        <f>H18+H16+H15+H13+H17+H19+H20+H21+H24+H22+H23+H14+H25+H26</f>
        <v>440846</v>
      </c>
      <c r="I27" s="79" t="s">
        <v>141</v>
      </c>
      <c r="J27" s="66">
        <f>J18+J16+J15+J13</f>
        <v>0</v>
      </c>
      <c r="K27" s="66" t="s">
        <v>66</v>
      </c>
      <c r="L27" s="82"/>
    </row>
    <row r="28" spans="1:11" s="70" customFormat="1" ht="55.5" customHeight="1">
      <c r="A28" s="38">
        <v>16</v>
      </c>
      <c r="B28" s="38">
        <v>700</v>
      </c>
      <c r="C28" s="38">
        <v>70004</v>
      </c>
      <c r="D28" s="25" t="s">
        <v>138</v>
      </c>
      <c r="E28" s="64">
        <f>F28</f>
        <v>34000</v>
      </c>
      <c r="F28" s="64">
        <v>34000</v>
      </c>
      <c r="G28" s="64">
        <v>34000</v>
      </c>
      <c r="H28" s="64">
        <v>0</v>
      </c>
      <c r="I28" s="27" t="s">
        <v>79</v>
      </c>
      <c r="J28" s="64">
        <v>0</v>
      </c>
      <c r="K28" s="38" t="s">
        <v>80</v>
      </c>
    </row>
    <row r="29" spans="1:11" ht="62.25" customHeight="1">
      <c r="A29" s="32">
        <v>17</v>
      </c>
      <c r="B29" s="32">
        <v>700</v>
      </c>
      <c r="C29" s="32">
        <v>70005</v>
      </c>
      <c r="D29" s="25" t="s">
        <v>78</v>
      </c>
      <c r="E29" s="80">
        <f>F29</f>
        <v>31000</v>
      </c>
      <c r="F29" s="80">
        <f>G29</f>
        <v>31000</v>
      </c>
      <c r="G29" s="80">
        <f>50000-19000</f>
        <v>31000</v>
      </c>
      <c r="H29" s="80">
        <v>0</v>
      </c>
      <c r="I29" s="27" t="s">
        <v>79</v>
      </c>
      <c r="J29" s="32">
        <v>0</v>
      </c>
      <c r="K29" s="38" t="s">
        <v>80</v>
      </c>
    </row>
    <row r="30" spans="1:11" ht="139.5" customHeight="1">
      <c r="A30" s="32">
        <v>18</v>
      </c>
      <c r="B30" s="32">
        <v>700</v>
      </c>
      <c r="C30" s="32">
        <v>70095</v>
      </c>
      <c r="D30" s="25" t="s">
        <v>139</v>
      </c>
      <c r="E30" s="80">
        <f>F30</f>
        <v>175720</v>
      </c>
      <c r="F30" s="80">
        <f>116000+49685+10035</f>
        <v>175720</v>
      </c>
      <c r="G30" s="80">
        <f>F30-49685</f>
        <v>126035</v>
      </c>
      <c r="H30" s="80">
        <v>0</v>
      </c>
      <c r="I30" s="27" t="s">
        <v>174</v>
      </c>
      <c r="J30" s="32">
        <v>0</v>
      </c>
      <c r="K30" s="38" t="s">
        <v>80</v>
      </c>
    </row>
    <row r="31" spans="1:11" s="28" customFormat="1" ht="72" customHeight="1">
      <c r="A31" s="91" t="s">
        <v>82</v>
      </c>
      <c r="B31" s="91"/>
      <c r="C31" s="91"/>
      <c r="D31" s="91"/>
      <c r="E31" s="34">
        <f>E29+E28+E30</f>
        <v>240720</v>
      </c>
      <c r="F31" s="34">
        <f>F29+F28+F30</f>
        <v>240720</v>
      </c>
      <c r="G31" s="34">
        <f>G29+G28+G30</f>
        <v>191035</v>
      </c>
      <c r="H31" s="34">
        <f>H29+H28+H30</f>
        <v>0</v>
      </c>
      <c r="I31" s="79" t="s">
        <v>174</v>
      </c>
      <c r="J31" s="35">
        <f>J29</f>
        <v>0</v>
      </c>
      <c r="K31" s="30" t="s">
        <v>66</v>
      </c>
    </row>
    <row r="32" spans="1:11" ht="115.5" customHeight="1">
      <c r="A32" s="38">
        <v>19</v>
      </c>
      <c r="B32" s="38">
        <v>750</v>
      </c>
      <c r="C32" s="38">
        <v>75020</v>
      </c>
      <c r="D32" s="25" t="s">
        <v>173</v>
      </c>
      <c r="E32" s="80">
        <f>F32</f>
        <v>20000</v>
      </c>
      <c r="F32" s="80">
        <v>20000</v>
      </c>
      <c r="G32" s="80">
        <v>20000</v>
      </c>
      <c r="H32" s="80">
        <v>0</v>
      </c>
      <c r="I32" s="27" t="s">
        <v>79</v>
      </c>
      <c r="J32" s="32">
        <v>0</v>
      </c>
      <c r="K32" s="38" t="s">
        <v>80</v>
      </c>
    </row>
    <row r="33" spans="1:11" ht="51">
      <c r="A33" s="32">
        <v>20</v>
      </c>
      <c r="B33" s="32">
        <v>750</v>
      </c>
      <c r="C33" s="32">
        <v>75023</v>
      </c>
      <c r="D33" s="25" t="s">
        <v>113</v>
      </c>
      <c r="E33" s="80">
        <f>F33</f>
        <v>70000</v>
      </c>
      <c r="F33" s="80">
        <f>50000+20000</f>
        <v>70000</v>
      </c>
      <c r="G33" s="80">
        <f>50000+20000</f>
        <v>70000</v>
      </c>
      <c r="H33" s="80">
        <v>0</v>
      </c>
      <c r="I33" s="27" t="s">
        <v>79</v>
      </c>
      <c r="J33" s="32">
        <v>0</v>
      </c>
      <c r="K33" s="38" t="s">
        <v>80</v>
      </c>
    </row>
    <row r="34" spans="1:11" ht="51">
      <c r="A34" s="32">
        <v>21</v>
      </c>
      <c r="B34" s="32">
        <v>750</v>
      </c>
      <c r="C34" s="32">
        <v>75023</v>
      </c>
      <c r="D34" s="25" t="s">
        <v>83</v>
      </c>
      <c r="E34" s="80">
        <v>50000</v>
      </c>
      <c r="F34" s="80">
        <v>50000</v>
      </c>
      <c r="G34" s="80">
        <v>50000</v>
      </c>
      <c r="H34" s="80">
        <v>0</v>
      </c>
      <c r="I34" s="27" t="s">
        <v>79</v>
      </c>
      <c r="J34" s="32">
        <v>0</v>
      </c>
      <c r="K34" s="38" t="s">
        <v>80</v>
      </c>
    </row>
    <row r="35" spans="1:11" s="28" customFormat="1" ht="21" customHeight="1">
      <c r="A35" s="91" t="s">
        <v>81</v>
      </c>
      <c r="B35" s="91"/>
      <c r="C35" s="91"/>
      <c r="D35" s="91"/>
      <c r="E35" s="34">
        <f>E33+E34+E32</f>
        <v>140000</v>
      </c>
      <c r="F35" s="34">
        <f>F33+F34+F32</f>
        <v>140000</v>
      </c>
      <c r="G35" s="34">
        <f>G33+G34+G32</f>
        <v>140000</v>
      </c>
      <c r="H35" s="34">
        <f>H33+H34+H32</f>
        <v>0</v>
      </c>
      <c r="I35" s="35" t="s">
        <v>66</v>
      </c>
      <c r="J35" s="35">
        <f>J34+J33</f>
        <v>0</v>
      </c>
      <c r="K35" s="30" t="s">
        <v>66</v>
      </c>
    </row>
    <row r="36" spans="1:11" ht="90.75" customHeight="1">
      <c r="A36" s="38">
        <v>22</v>
      </c>
      <c r="B36" s="63">
        <v>801</v>
      </c>
      <c r="C36" s="63">
        <v>80101</v>
      </c>
      <c r="D36" s="63" t="s">
        <v>111</v>
      </c>
      <c r="E36" s="80">
        <f>50000-6000</f>
        <v>44000</v>
      </c>
      <c r="F36" s="80">
        <f>E36</f>
        <v>44000</v>
      </c>
      <c r="G36" s="80">
        <f>F36</f>
        <v>44000</v>
      </c>
      <c r="H36" s="80">
        <v>0</v>
      </c>
      <c r="I36" s="27" t="s">
        <v>79</v>
      </c>
      <c r="J36" s="32">
        <v>0</v>
      </c>
      <c r="K36" s="38" t="s">
        <v>80</v>
      </c>
    </row>
    <row r="37" spans="1:11" ht="90.75" customHeight="1">
      <c r="A37" s="38">
        <v>23</v>
      </c>
      <c r="B37" s="63">
        <v>801</v>
      </c>
      <c r="C37" s="63">
        <v>80101</v>
      </c>
      <c r="D37" s="63" t="s">
        <v>121</v>
      </c>
      <c r="E37" s="80">
        <v>5307</v>
      </c>
      <c r="F37" s="80">
        <v>5307</v>
      </c>
      <c r="G37" s="80">
        <v>5307</v>
      </c>
      <c r="H37" s="80">
        <v>0</v>
      </c>
      <c r="I37" s="27" t="s">
        <v>79</v>
      </c>
      <c r="J37" s="32">
        <v>0</v>
      </c>
      <c r="K37" s="38" t="s">
        <v>80</v>
      </c>
    </row>
    <row r="38" spans="1:11" ht="56.25" customHeight="1">
      <c r="A38" s="38">
        <v>24</v>
      </c>
      <c r="B38" s="63">
        <v>801</v>
      </c>
      <c r="C38" s="63">
        <v>80110</v>
      </c>
      <c r="D38" s="63" t="s">
        <v>112</v>
      </c>
      <c r="E38" s="80">
        <v>30000</v>
      </c>
      <c r="F38" s="80">
        <v>30000</v>
      </c>
      <c r="G38" s="80">
        <v>30000</v>
      </c>
      <c r="H38" s="80">
        <v>0</v>
      </c>
      <c r="I38" s="27" t="s">
        <v>79</v>
      </c>
      <c r="J38" s="32">
        <v>0</v>
      </c>
      <c r="K38" s="38" t="s">
        <v>80</v>
      </c>
    </row>
    <row r="39" spans="1:11" ht="121.5" customHeight="1">
      <c r="A39" s="38">
        <v>25</v>
      </c>
      <c r="B39" s="63">
        <v>801</v>
      </c>
      <c r="C39" s="63">
        <v>80110</v>
      </c>
      <c r="D39" s="63" t="s">
        <v>125</v>
      </c>
      <c r="E39" s="80">
        <v>205000</v>
      </c>
      <c r="F39" s="80">
        <v>205000</v>
      </c>
      <c r="G39" s="80">
        <v>125000</v>
      </c>
      <c r="H39" s="80">
        <v>80000</v>
      </c>
      <c r="I39" s="27" t="s">
        <v>79</v>
      </c>
      <c r="J39" s="32">
        <v>0</v>
      </c>
      <c r="K39" s="38" t="s">
        <v>80</v>
      </c>
    </row>
    <row r="40" spans="1:11" s="28" customFormat="1" ht="21" customHeight="1">
      <c r="A40" s="91" t="s">
        <v>106</v>
      </c>
      <c r="B40" s="91"/>
      <c r="C40" s="91"/>
      <c r="D40" s="91"/>
      <c r="E40" s="81">
        <f>E38+E36+E37+E39</f>
        <v>284307</v>
      </c>
      <c r="F40" s="81">
        <f>F38+F36+F37+F39</f>
        <v>284307</v>
      </c>
      <c r="G40" s="81">
        <f>G38+G36+G37+G39</f>
        <v>204307</v>
      </c>
      <c r="H40" s="81">
        <f>H38+H36+H37+H39</f>
        <v>80000</v>
      </c>
      <c r="I40" s="34" t="s">
        <v>66</v>
      </c>
      <c r="J40" s="34">
        <f>J38+J36</f>
        <v>0</v>
      </c>
      <c r="K40" s="30" t="s">
        <v>66</v>
      </c>
    </row>
    <row r="41" spans="1:11" ht="60" customHeight="1">
      <c r="A41" s="38">
        <v>26</v>
      </c>
      <c r="B41" s="25">
        <v>900</v>
      </c>
      <c r="C41" s="25">
        <v>90001</v>
      </c>
      <c r="D41" s="25" t="s">
        <v>132</v>
      </c>
      <c r="E41" s="33">
        <f>F41</f>
        <v>70000</v>
      </c>
      <c r="F41" s="33">
        <f>50000+20000</f>
        <v>70000</v>
      </c>
      <c r="G41" s="33">
        <f>F41</f>
        <v>70000</v>
      </c>
      <c r="H41" s="33">
        <v>0</v>
      </c>
      <c r="I41" s="27" t="s">
        <v>79</v>
      </c>
      <c r="J41" s="33">
        <v>0</v>
      </c>
      <c r="K41" s="38" t="s">
        <v>80</v>
      </c>
    </row>
    <row r="42" spans="1:11" ht="82.5" customHeight="1">
      <c r="A42" s="38">
        <v>27</v>
      </c>
      <c r="B42" s="25">
        <v>900</v>
      </c>
      <c r="C42" s="25">
        <v>90005</v>
      </c>
      <c r="D42" s="25" t="s">
        <v>134</v>
      </c>
      <c r="E42" s="33">
        <v>0</v>
      </c>
      <c r="F42" s="33">
        <v>0</v>
      </c>
      <c r="G42" s="33">
        <v>0</v>
      </c>
      <c r="H42" s="33">
        <v>0</v>
      </c>
      <c r="I42" s="27" t="s">
        <v>79</v>
      </c>
      <c r="J42" s="33">
        <v>0</v>
      </c>
      <c r="K42" s="38" t="s">
        <v>80</v>
      </c>
    </row>
    <row r="43" spans="1:11" ht="106.5" customHeight="1">
      <c r="A43" s="38">
        <v>28</v>
      </c>
      <c r="B43" s="25">
        <v>900</v>
      </c>
      <c r="C43" s="25">
        <v>90015</v>
      </c>
      <c r="D43" s="25" t="s">
        <v>120</v>
      </c>
      <c r="E43" s="33">
        <f>F43</f>
        <v>95000</v>
      </c>
      <c r="F43" s="33">
        <f>100000-4000-1000</f>
        <v>95000</v>
      </c>
      <c r="G43" s="33">
        <f>100000-4000-1000</f>
        <v>95000</v>
      </c>
      <c r="H43" s="33">
        <v>0</v>
      </c>
      <c r="I43" s="27" t="s">
        <v>79</v>
      </c>
      <c r="J43" s="33">
        <v>0</v>
      </c>
      <c r="K43" s="38" t="s">
        <v>80</v>
      </c>
    </row>
    <row r="44" spans="1:11" ht="54" customHeight="1">
      <c r="A44" s="38">
        <v>29</v>
      </c>
      <c r="B44" s="25">
        <v>900</v>
      </c>
      <c r="C44" s="25">
        <v>90015</v>
      </c>
      <c r="D44" s="25" t="s">
        <v>123</v>
      </c>
      <c r="E44" s="33">
        <f>F44</f>
        <v>32000</v>
      </c>
      <c r="F44" s="33">
        <f>12000+20000</f>
        <v>32000</v>
      </c>
      <c r="G44" s="33">
        <f>12000+20000</f>
        <v>32000</v>
      </c>
      <c r="H44" s="33">
        <v>0</v>
      </c>
      <c r="I44" s="27" t="s">
        <v>79</v>
      </c>
      <c r="J44" s="32">
        <v>0</v>
      </c>
      <c r="K44" s="38" t="s">
        <v>80</v>
      </c>
    </row>
    <row r="45" spans="1:11" ht="75.75" customHeight="1">
      <c r="A45" s="38">
        <v>30</v>
      </c>
      <c r="B45" s="25">
        <v>900</v>
      </c>
      <c r="C45" s="25">
        <v>90015</v>
      </c>
      <c r="D45" s="25" t="s">
        <v>124</v>
      </c>
      <c r="E45" s="33">
        <v>8000</v>
      </c>
      <c r="F45" s="33">
        <v>8000</v>
      </c>
      <c r="G45" s="33">
        <v>8000</v>
      </c>
      <c r="H45" s="33"/>
      <c r="I45" s="27" t="s">
        <v>79</v>
      </c>
      <c r="J45" s="32">
        <v>0</v>
      </c>
      <c r="K45" s="38" t="s">
        <v>80</v>
      </c>
    </row>
    <row r="46" spans="1:11" ht="75.75" customHeight="1">
      <c r="A46" s="38">
        <v>31</v>
      </c>
      <c r="B46" s="25">
        <v>900</v>
      </c>
      <c r="C46" s="25">
        <v>90015</v>
      </c>
      <c r="D46" s="25" t="s">
        <v>126</v>
      </c>
      <c r="E46" s="33">
        <v>3600</v>
      </c>
      <c r="F46" s="33">
        <v>3600</v>
      </c>
      <c r="G46" s="33">
        <v>3600</v>
      </c>
      <c r="H46" s="33">
        <v>0</v>
      </c>
      <c r="I46" s="27" t="s">
        <v>79</v>
      </c>
      <c r="J46" s="32">
        <v>0</v>
      </c>
      <c r="K46" s="38" t="s">
        <v>80</v>
      </c>
    </row>
    <row r="47" spans="1:11" ht="75.75" customHeight="1">
      <c r="A47" s="38">
        <v>32</v>
      </c>
      <c r="B47" s="25">
        <v>900</v>
      </c>
      <c r="C47" s="25">
        <v>90015</v>
      </c>
      <c r="D47" s="25" t="s">
        <v>127</v>
      </c>
      <c r="E47" s="33">
        <v>10000</v>
      </c>
      <c r="F47" s="33">
        <v>10000</v>
      </c>
      <c r="G47" s="33">
        <v>10000</v>
      </c>
      <c r="H47" s="33">
        <v>0</v>
      </c>
      <c r="I47" s="27" t="s">
        <v>79</v>
      </c>
      <c r="J47" s="32">
        <v>0</v>
      </c>
      <c r="K47" s="38" t="s">
        <v>80</v>
      </c>
    </row>
    <row r="48" spans="1:11" ht="75.75" customHeight="1">
      <c r="A48" s="38">
        <v>33</v>
      </c>
      <c r="B48" s="25">
        <v>900</v>
      </c>
      <c r="C48" s="25">
        <v>90015</v>
      </c>
      <c r="D48" s="25" t="s">
        <v>131</v>
      </c>
      <c r="E48" s="33">
        <f>F48</f>
        <v>6000</v>
      </c>
      <c r="F48" s="33">
        <v>6000</v>
      </c>
      <c r="G48" s="33">
        <v>6000</v>
      </c>
      <c r="H48" s="33">
        <v>0</v>
      </c>
      <c r="I48" s="27" t="s">
        <v>79</v>
      </c>
      <c r="J48" s="32">
        <v>0</v>
      </c>
      <c r="K48" s="38" t="s">
        <v>80</v>
      </c>
    </row>
    <row r="49" spans="1:11" ht="75.75" customHeight="1">
      <c r="A49" s="38">
        <v>34</v>
      </c>
      <c r="B49" s="25">
        <v>900</v>
      </c>
      <c r="C49" s="25">
        <v>90015</v>
      </c>
      <c r="D49" s="25" t="s">
        <v>133</v>
      </c>
      <c r="E49" s="33">
        <f>F49</f>
        <v>100000</v>
      </c>
      <c r="F49" s="33">
        <v>100000</v>
      </c>
      <c r="G49" s="33">
        <v>100000</v>
      </c>
      <c r="H49" s="33">
        <v>0</v>
      </c>
      <c r="I49" s="27" t="s">
        <v>79</v>
      </c>
      <c r="J49" s="32">
        <v>0</v>
      </c>
      <c r="K49" s="38" t="s">
        <v>80</v>
      </c>
    </row>
    <row r="50" spans="1:11" ht="54.75" customHeight="1">
      <c r="A50" s="38">
        <v>35</v>
      </c>
      <c r="B50" s="25">
        <v>900</v>
      </c>
      <c r="C50" s="25">
        <v>90095</v>
      </c>
      <c r="D50" s="25" t="s">
        <v>110</v>
      </c>
      <c r="E50" s="33">
        <f>F50</f>
        <v>13000</v>
      </c>
      <c r="F50" s="33">
        <f>100000-20000-25000-40000-2000</f>
        <v>13000</v>
      </c>
      <c r="G50" s="33">
        <f>F50</f>
        <v>13000</v>
      </c>
      <c r="H50" s="33">
        <v>0</v>
      </c>
      <c r="I50" s="27" t="s">
        <v>79</v>
      </c>
      <c r="J50" s="32">
        <v>0</v>
      </c>
      <c r="K50" s="38" t="s">
        <v>80</v>
      </c>
    </row>
    <row r="51" spans="1:11" s="28" customFormat="1" ht="17.25" customHeight="1">
      <c r="A51" s="91" t="s">
        <v>76</v>
      </c>
      <c r="B51" s="91"/>
      <c r="C51" s="91"/>
      <c r="D51" s="91"/>
      <c r="E51" s="34">
        <f>E50+E43+E45+E44+E47+E46+E41+E42+E48+E49</f>
        <v>337600</v>
      </c>
      <c r="F51" s="34">
        <f>F50+F43+F45+F44+F47+F46+F41+F42+F48+F49</f>
        <v>337600</v>
      </c>
      <c r="G51" s="34">
        <f>G50+G43+G45+G44+G47+G46+G41+G42+G48+G49</f>
        <v>337600</v>
      </c>
      <c r="H51" s="34">
        <f>H50+H43+H45+H44+H47+H46+H41+H42+H48+H49</f>
        <v>0</v>
      </c>
      <c r="I51" s="34" t="s">
        <v>66</v>
      </c>
      <c r="J51" s="34">
        <f>J50</f>
        <v>0</v>
      </c>
      <c r="K51" s="30" t="s">
        <v>66</v>
      </c>
    </row>
    <row r="52" spans="1:11" ht="98.25" customHeight="1">
      <c r="A52" s="26">
        <v>36</v>
      </c>
      <c r="B52" s="63">
        <v>921</v>
      </c>
      <c r="C52" s="63">
        <v>92120</v>
      </c>
      <c r="D52" s="63" t="s">
        <v>136</v>
      </c>
      <c r="E52" s="33">
        <f>F52</f>
        <v>125000</v>
      </c>
      <c r="F52" s="33">
        <v>125000</v>
      </c>
      <c r="G52" s="33">
        <v>125000</v>
      </c>
      <c r="H52" s="33">
        <v>0</v>
      </c>
      <c r="I52" s="27" t="s">
        <v>79</v>
      </c>
      <c r="J52" s="32">
        <v>0</v>
      </c>
      <c r="K52" s="38" t="s">
        <v>80</v>
      </c>
    </row>
    <row r="53" spans="1:11" s="28" customFormat="1" ht="16.5" customHeight="1">
      <c r="A53" s="87" t="s">
        <v>116</v>
      </c>
      <c r="B53" s="87"/>
      <c r="C53" s="87"/>
      <c r="D53" s="87"/>
      <c r="E53" s="34">
        <f>E52</f>
        <v>125000</v>
      </c>
      <c r="F53" s="34">
        <f>F52</f>
        <v>125000</v>
      </c>
      <c r="G53" s="34">
        <f>F52</f>
        <v>125000</v>
      </c>
      <c r="H53" s="34">
        <f>H52</f>
        <v>0</v>
      </c>
      <c r="I53" s="34" t="s">
        <v>66</v>
      </c>
      <c r="J53" s="34">
        <f>J52</f>
        <v>0</v>
      </c>
      <c r="K53" s="34" t="s">
        <v>66</v>
      </c>
    </row>
    <row r="54" spans="1:11" ht="61.5" customHeight="1">
      <c r="A54" s="88" t="s">
        <v>60</v>
      </c>
      <c r="B54" s="88"/>
      <c r="C54" s="88"/>
      <c r="D54" s="88"/>
      <c r="E54" s="36">
        <f>E53+E51+E40+E35+E31+E27+E12</f>
        <v>2494127</v>
      </c>
      <c r="F54" s="36">
        <f>F53+F51+F40+F35+F31+F27+F12</f>
        <v>2494127</v>
      </c>
      <c r="G54" s="36">
        <f>G53+G51+G40+G35+G31+G27+G12</f>
        <v>1886596</v>
      </c>
      <c r="H54" s="36">
        <f>H53+H51+H40+H35+H31+H27+H12</f>
        <v>527846</v>
      </c>
      <c r="I54" s="79" t="s">
        <v>175</v>
      </c>
      <c r="J54" s="36">
        <f>J53+J51+J40+J35+J31+J27+J12</f>
        <v>0</v>
      </c>
      <c r="K54" s="37" t="s">
        <v>66</v>
      </c>
    </row>
    <row r="55" spans="6:11" ht="12.75">
      <c r="F55" s="84"/>
      <c r="G55" s="84"/>
      <c r="K55" s="69" t="s">
        <v>187</v>
      </c>
    </row>
    <row r="56" spans="6:11" ht="12.75">
      <c r="F56" s="84"/>
      <c r="G56" s="84"/>
      <c r="H56" s="84"/>
      <c r="K56" s="69" t="s">
        <v>188</v>
      </c>
    </row>
    <row r="57" spans="5:8" ht="12.75">
      <c r="E57" s="84"/>
      <c r="G57" s="84"/>
      <c r="H57" s="84"/>
    </row>
    <row r="58" spans="5:11" ht="12.75">
      <c r="E58" s="84"/>
      <c r="G58" s="84"/>
      <c r="H58" s="84"/>
      <c r="K58" s="69" t="s">
        <v>189</v>
      </c>
    </row>
    <row r="59" ht="12.75">
      <c r="E59" s="84"/>
    </row>
    <row r="60" ht="12.75">
      <c r="F60" s="84"/>
    </row>
  </sheetData>
  <mergeCells count="23">
    <mergeCell ref="G1:K2"/>
    <mergeCell ref="E5:E9"/>
    <mergeCell ref="G7:G9"/>
    <mergeCell ref="A12:D12"/>
    <mergeCell ref="F6:F9"/>
    <mergeCell ref="H7:H9"/>
    <mergeCell ref="A3:K3"/>
    <mergeCell ref="A5:A9"/>
    <mergeCell ref="B5:B9"/>
    <mergeCell ref="C5:C9"/>
    <mergeCell ref="D5:D9"/>
    <mergeCell ref="F5:J5"/>
    <mergeCell ref="K5:K9"/>
    <mergeCell ref="I7:I9"/>
    <mergeCell ref="G6:J6"/>
    <mergeCell ref="J7:J9"/>
    <mergeCell ref="A54:D54"/>
    <mergeCell ref="A27:D27"/>
    <mergeCell ref="A31:D31"/>
    <mergeCell ref="A35:D35"/>
    <mergeCell ref="A40:D40"/>
    <mergeCell ref="A53:D53"/>
    <mergeCell ref="A51:D51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abSelected="1" defaultGridColor="0" colorId="8" workbookViewId="0" topLeftCell="A43">
      <selection activeCell="G1" sqref="G1:J3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7" t="s">
        <v>190</v>
      </c>
      <c r="H1" s="97"/>
      <c r="I1" s="97"/>
      <c r="J1" s="97"/>
    </row>
    <row r="2" spans="7:10" ht="12.75">
      <c r="G2" s="97"/>
      <c r="H2" s="97"/>
      <c r="I2" s="97"/>
      <c r="J2" s="97"/>
    </row>
    <row r="3" spans="7:10" ht="12.75">
      <c r="G3" s="97"/>
      <c r="H3" s="97"/>
      <c r="I3" s="97"/>
      <c r="J3" s="97"/>
    </row>
    <row r="5" spans="1:10" ht="48.75" customHeight="1">
      <c r="A5" s="98" t="s">
        <v>33</v>
      </c>
      <c r="B5" s="98"/>
      <c r="C5" s="98"/>
      <c r="D5" s="98"/>
      <c r="E5" s="98"/>
      <c r="F5" s="98"/>
      <c r="G5" s="98"/>
      <c r="H5" s="98"/>
      <c r="I5" s="98"/>
      <c r="J5" s="98"/>
    </row>
    <row r="6" ht="12.75">
      <c r="J6" s="6" t="s">
        <v>26</v>
      </c>
    </row>
    <row r="7" spans="1:10" s="2" customFormat="1" ht="20.25" customHeight="1">
      <c r="A7" s="96" t="s">
        <v>2</v>
      </c>
      <c r="B7" s="99" t="s">
        <v>3</v>
      </c>
      <c r="C7" s="99" t="s">
        <v>4</v>
      </c>
      <c r="D7" s="94" t="s">
        <v>54</v>
      </c>
      <c r="E7" s="94" t="s">
        <v>53</v>
      </c>
      <c r="F7" s="94" t="s">
        <v>47</v>
      </c>
      <c r="G7" s="94"/>
      <c r="H7" s="94"/>
      <c r="I7" s="94"/>
      <c r="J7" s="94"/>
    </row>
    <row r="8" spans="1:10" s="2" customFormat="1" ht="20.25" customHeight="1">
      <c r="A8" s="96"/>
      <c r="B8" s="100"/>
      <c r="C8" s="100"/>
      <c r="D8" s="96"/>
      <c r="E8" s="94"/>
      <c r="F8" s="94" t="s">
        <v>51</v>
      </c>
      <c r="G8" s="94" t="s">
        <v>5</v>
      </c>
      <c r="H8" s="94"/>
      <c r="I8" s="94"/>
      <c r="J8" s="94" t="s">
        <v>52</v>
      </c>
    </row>
    <row r="9" spans="1:10" s="2" customFormat="1" ht="65.25" customHeight="1">
      <c r="A9" s="96"/>
      <c r="B9" s="101"/>
      <c r="C9" s="101"/>
      <c r="D9" s="96"/>
      <c r="E9" s="94"/>
      <c r="F9" s="94"/>
      <c r="G9" s="10" t="s">
        <v>48</v>
      </c>
      <c r="H9" s="10" t="s">
        <v>49</v>
      </c>
      <c r="I9" s="10" t="s">
        <v>50</v>
      </c>
      <c r="J9" s="94"/>
    </row>
    <row r="10" spans="1:10" ht="12" customHeight="1">
      <c r="A10" s="53">
        <v>1</v>
      </c>
      <c r="B10" s="53">
        <v>2</v>
      </c>
      <c r="C10" s="53">
        <v>3</v>
      </c>
      <c r="D10" s="53">
        <v>4</v>
      </c>
      <c r="E10" s="53">
        <v>5</v>
      </c>
      <c r="F10" s="53">
        <v>6</v>
      </c>
      <c r="G10" s="53">
        <v>7</v>
      </c>
      <c r="H10" s="53">
        <v>8</v>
      </c>
      <c r="I10" s="53">
        <v>9</v>
      </c>
      <c r="J10" s="53">
        <v>10</v>
      </c>
    </row>
    <row r="11" spans="1:10" ht="18" customHeight="1">
      <c r="A11" s="74" t="s">
        <v>69</v>
      </c>
      <c r="B11" s="74" t="s">
        <v>84</v>
      </c>
      <c r="C11" s="75">
        <v>2010</v>
      </c>
      <c r="D11" s="76">
        <f>83905+73920</f>
        <v>157825</v>
      </c>
      <c r="E11" s="76"/>
      <c r="F11" s="76"/>
      <c r="G11" s="77"/>
      <c r="H11" s="77"/>
      <c r="I11" s="77"/>
      <c r="J11" s="77"/>
    </row>
    <row r="12" spans="1:10" ht="18" customHeight="1">
      <c r="A12" s="74" t="s">
        <v>69</v>
      </c>
      <c r="B12" s="74" t="s">
        <v>84</v>
      </c>
      <c r="C12" s="75">
        <v>4300</v>
      </c>
      <c r="D12" s="76"/>
      <c r="E12" s="76">
        <f>1524+1450</f>
        <v>2974</v>
      </c>
      <c r="F12" s="76">
        <f>E12</f>
        <v>2974</v>
      </c>
      <c r="G12" s="77"/>
      <c r="H12" s="77"/>
      <c r="I12" s="77"/>
      <c r="J12" s="77"/>
    </row>
    <row r="13" spans="1:10" ht="18" customHeight="1">
      <c r="A13" s="74" t="s">
        <v>69</v>
      </c>
      <c r="B13" s="74" t="s">
        <v>84</v>
      </c>
      <c r="C13" s="75">
        <v>4430</v>
      </c>
      <c r="D13" s="76"/>
      <c r="E13" s="76">
        <f>83905-1524+72470</f>
        <v>154851</v>
      </c>
      <c r="F13" s="76">
        <f>E13</f>
        <v>154851</v>
      </c>
      <c r="G13" s="75"/>
      <c r="H13" s="75"/>
      <c r="I13" s="75"/>
      <c r="J13" s="75"/>
    </row>
    <row r="14" spans="1:10" s="23" customFormat="1" ht="18.75" customHeight="1">
      <c r="A14" s="104" t="s">
        <v>74</v>
      </c>
      <c r="B14" s="105"/>
      <c r="C14" s="106"/>
      <c r="D14" s="78">
        <f>D13+D11</f>
        <v>157825</v>
      </c>
      <c r="E14" s="78">
        <f>E13+E11+E12</f>
        <v>157825</v>
      </c>
      <c r="F14" s="78">
        <f>F13+F11+F12</f>
        <v>157825</v>
      </c>
      <c r="G14" s="78">
        <f>G13+G11</f>
        <v>0</v>
      </c>
      <c r="H14" s="78">
        <f>H13+H11</f>
        <v>0</v>
      </c>
      <c r="I14" s="78">
        <f>I13+I11</f>
        <v>0</v>
      </c>
      <c r="J14" s="78">
        <f>J13+J11</f>
        <v>0</v>
      </c>
    </row>
    <row r="15" spans="1:10" ht="19.5" customHeight="1">
      <c r="A15" s="58">
        <v>750</v>
      </c>
      <c r="B15" s="58">
        <v>75011</v>
      </c>
      <c r="C15" s="58">
        <v>2010</v>
      </c>
      <c r="D15" s="59">
        <f>116740+5054</f>
        <v>121794</v>
      </c>
      <c r="E15" s="59"/>
      <c r="F15" s="59"/>
      <c r="G15" s="59"/>
      <c r="H15" s="59"/>
      <c r="I15" s="59"/>
      <c r="J15" s="59"/>
    </row>
    <row r="16" spans="1:10" ht="19.5" customHeight="1">
      <c r="A16" s="58">
        <v>750</v>
      </c>
      <c r="B16" s="58">
        <v>75011</v>
      </c>
      <c r="C16" s="58">
        <v>4010</v>
      </c>
      <c r="D16" s="59"/>
      <c r="E16" s="59">
        <f>F16</f>
        <v>97576</v>
      </c>
      <c r="F16" s="59">
        <f>G16</f>
        <v>97576</v>
      </c>
      <c r="G16" s="59">
        <v>97576</v>
      </c>
      <c r="H16" s="59"/>
      <c r="I16" s="59"/>
      <c r="J16" s="59"/>
    </row>
    <row r="17" spans="1:10" ht="19.5" customHeight="1">
      <c r="A17" s="58">
        <v>750</v>
      </c>
      <c r="B17" s="58">
        <v>75011</v>
      </c>
      <c r="C17" s="58">
        <v>4110</v>
      </c>
      <c r="D17" s="59"/>
      <c r="E17" s="59">
        <f>F17</f>
        <v>16773</v>
      </c>
      <c r="F17" s="59">
        <f>H17</f>
        <v>16773</v>
      </c>
      <c r="G17" s="59">
        <v>0</v>
      </c>
      <c r="H17" s="59">
        <v>16773</v>
      </c>
      <c r="I17" s="59"/>
      <c r="J17" s="59">
        <v>0</v>
      </c>
    </row>
    <row r="18" spans="1:10" ht="19.5" customHeight="1">
      <c r="A18" s="58">
        <v>750</v>
      </c>
      <c r="B18" s="58">
        <v>75011</v>
      </c>
      <c r="C18" s="58">
        <v>4120</v>
      </c>
      <c r="D18" s="59"/>
      <c r="E18" s="59">
        <f>F18</f>
        <v>2391</v>
      </c>
      <c r="F18" s="59">
        <f>H18</f>
        <v>2391</v>
      </c>
      <c r="G18" s="59">
        <v>0</v>
      </c>
      <c r="H18" s="59">
        <v>2391</v>
      </c>
      <c r="I18" s="59"/>
      <c r="J18" s="59">
        <v>0</v>
      </c>
    </row>
    <row r="19" spans="1:10" ht="19.5" customHeight="1">
      <c r="A19" s="58">
        <v>750</v>
      </c>
      <c r="B19" s="58">
        <v>75011</v>
      </c>
      <c r="C19" s="58">
        <v>4210</v>
      </c>
      <c r="D19" s="59"/>
      <c r="E19" s="59">
        <v>5054</v>
      </c>
      <c r="F19" s="59">
        <v>5054</v>
      </c>
      <c r="G19" s="59"/>
      <c r="H19" s="59"/>
      <c r="I19" s="59"/>
      <c r="J19" s="59"/>
    </row>
    <row r="20" spans="1:10" s="23" customFormat="1" ht="19.5" customHeight="1">
      <c r="A20" s="103" t="s">
        <v>81</v>
      </c>
      <c r="B20" s="103"/>
      <c r="C20" s="103"/>
      <c r="D20" s="60">
        <f>D15+D16+D17+D18</f>
        <v>121794</v>
      </c>
      <c r="E20" s="60">
        <f aca="true" t="shared" si="0" ref="E20:J20">E15+E16+E17+E18+E19</f>
        <v>121794</v>
      </c>
      <c r="F20" s="60">
        <f t="shared" si="0"/>
        <v>121794</v>
      </c>
      <c r="G20" s="60">
        <f t="shared" si="0"/>
        <v>97576</v>
      </c>
      <c r="H20" s="60">
        <f t="shared" si="0"/>
        <v>19164</v>
      </c>
      <c r="I20" s="60">
        <f t="shared" si="0"/>
        <v>0</v>
      </c>
      <c r="J20" s="60">
        <f t="shared" si="0"/>
        <v>0</v>
      </c>
    </row>
    <row r="21" spans="1:10" ht="19.5" customHeight="1">
      <c r="A21" s="58">
        <v>751</v>
      </c>
      <c r="B21" s="58">
        <v>75101</v>
      </c>
      <c r="C21" s="58">
        <v>2010</v>
      </c>
      <c r="D21" s="59">
        <v>3677</v>
      </c>
      <c r="E21" s="59"/>
      <c r="F21" s="59"/>
      <c r="G21" s="59"/>
      <c r="H21" s="59"/>
      <c r="I21" s="59"/>
      <c r="J21" s="59">
        <v>0</v>
      </c>
    </row>
    <row r="22" spans="1:10" ht="19.5" customHeight="1">
      <c r="A22" s="58">
        <v>751</v>
      </c>
      <c r="B22" s="58">
        <v>75101</v>
      </c>
      <c r="C22" s="58">
        <v>4010</v>
      </c>
      <c r="D22" s="59"/>
      <c r="E22" s="59">
        <f>F22</f>
        <v>3074</v>
      </c>
      <c r="F22" s="59">
        <f>G22</f>
        <v>3074</v>
      </c>
      <c r="G22" s="59">
        <v>3074</v>
      </c>
      <c r="H22" s="59">
        <v>0</v>
      </c>
      <c r="I22" s="59"/>
      <c r="J22" s="59">
        <v>0</v>
      </c>
    </row>
    <row r="23" spans="1:10" ht="19.5" customHeight="1">
      <c r="A23" s="58">
        <v>751</v>
      </c>
      <c r="B23" s="58">
        <v>75101</v>
      </c>
      <c r="C23" s="58">
        <v>4110</v>
      </c>
      <c r="D23" s="59"/>
      <c r="E23" s="59">
        <f>F23</f>
        <v>528</v>
      </c>
      <c r="F23" s="59">
        <f>H23</f>
        <v>528</v>
      </c>
      <c r="G23" s="59"/>
      <c r="H23" s="59">
        <v>528</v>
      </c>
      <c r="I23" s="59"/>
      <c r="J23" s="59">
        <v>0</v>
      </c>
    </row>
    <row r="24" spans="1:10" ht="19.5" customHeight="1">
      <c r="A24" s="58">
        <v>751</v>
      </c>
      <c r="B24" s="58">
        <v>75101</v>
      </c>
      <c r="C24" s="58">
        <v>4120</v>
      </c>
      <c r="D24" s="59"/>
      <c r="E24" s="59">
        <f>F24</f>
        <v>75</v>
      </c>
      <c r="F24" s="59">
        <f>H24</f>
        <v>75</v>
      </c>
      <c r="G24" s="59"/>
      <c r="H24" s="59">
        <v>75</v>
      </c>
      <c r="I24" s="59"/>
      <c r="J24" s="59">
        <v>0</v>
      </c>
    </row>
    <row r="25" spans="1:10" ht="19.5" customHeight="1">
      <c r="A25" s="58">
        <v>751</v>
      </c>
      <c r="B25" s="58">
        <v>75108</v>
      </c>
      <c r="C25" s="58">
        <v>2010</v>
      </c>
      <c r="D25" s="59">
        <v>40782</v>
      </c>
      <c r="E25" s="59"/>
      <c r="F25" s="59"/>
      <c r="G25" s="59"/>
      <c r="H25" s="59"/>
      <c r="I25" s="59"/>
      <c r="J25" s="59"/>
    </row>
    <row r="26" spans="1:10" ht="19.5" customHeight="1">
      <c r="A26" s="58">
        <v>751</v>
      </c>
      <c r="B26" s="58">
        <v>75108</v>
      </c>
      <c r="C26" s="58">
        <v>3030</v>
      </c>
      <c r="D26" s="59"/>
      <c r="E26" s="59">
        <v>21285</v>
      </c>
      <c r="F26" s="59">
        <f>E26</f>
        <v>21285</v>
      </c>
      <c r="G26" s="59"/>
      <c r="H26" s="59"/>
      <c r="I26" s="59"/>
      <c r="J26" s="59"/>
    </row>
    <row r="27" spans="1:10" ht="19.5" customHeight="1">
      <c r="A27" s="58">
        <v>751</v>
      </c>
      <c r="B27" s="58">
        <v>75108</v>
      </c>
      <c r="C27" s="58">
        <v>4110</v>
      </c>
      <c r="D27" s="59"/>
      <c r="E27" s="59">
        <f>1995-500</f>
        <v>1495</v>
      </c>
      <c r="F27" s="59">
        <f aca="true" t="shared" si="1" ref="F27:F32">E27</f>
        <v>1495</v>
      </c>
      <c r="G27" s="59"/>
      <c r="H27" s="59">
        <f>F27</f>
        <v>1495</v>
      </c>
      <c r="I27" s="59"/>
      <c r="J27" s="59"/>
    </row>
    <row r="28" spans="1:10" ht="19.5" customHeight="1">
      <c r="A28" s="58">
        <v>751</v>
      </c>
      <c r="B28" s="58">
        <v>75108</v>
      </c>
      <c r="C28" s="58">
        <v>4120</v>
      </c>
      <c r="D28" s="59"/>
      <c r="E28" s="59">
        <v>252</v>
      </c>
      <c r="F28" s="59">
        <f t="shared" si="1"/>
        <v>252</v>
      </c>
      <c r="G28" s="59"/>
      <c r="H28" s="59">
        <f>F28</f>
        <v>252</v>
      </c>
      <c r="I28" s="59"/>
      <c r="J28" s="59"/>
    </row>
    <row r="29" spans="1:10" ht="19.5" customHeight="1">
      <c r="A29" s="58">
        <v>751</v>
      </c>
      <c r="B29" s="58">
        <v>75108</v>
      </c>
      <c r="C29" s="58">
        <v>4170</v>
      </c>
      <c r="D29" s="59"/>
      <c r="E29" s="59">
        <f>7979+500</f>
        <v>8479</v>
      </c>
      <c r="F29" s="59">
        <f t="shared" si="1"/>
        <v>8479</v>
      </c>
      <c r="G29" s="59">
        <f>F29</f>
        <v>8479</v>
      </c>
      <c r="H29" s="59"/>
      <c r="I29" s="59"/>
      <c r="J29" s="59"/>
    </row>
    <row r="30" spans="1:10" ht="19.5" customHeight="1">
      <c r="A30" s="58">
        <v>751</v>
      </c>
      <c r="B30" s="58">
        <v>75108</v>
      </c>
      <c r="C30" s="58">
        <v>4210</v>
      </c>
      <c r="D30" s="59"/>
      <c r="E30" s="59">
        <f>2000+2000+500</f>
        <v>4500</v>
      </c>
      <c r="F30" s="59">
        <f t="shared" si="1"/>
        <v>4500</v>
      </c>
      <c r="G30" s="59"/>
      <c r="H30" s="59"/>
      <c r="I30" s="59"/>
      <c r="J30" s="59"/>
    </row>
    <row r="31" spans="1:10" ht="19.5" customHeight="1">
      <c r="A31" s="58">
        <v>751</v>
      </c>
      <c r="B31" s="58">
        <v>75108</v>
      </c>
      <c r="C31" s="58">
        <v>4300</v>
      </c>
      <c r="D31" s="59"/>
      <c r="E31" s="59">
        <f>6271-2000-500</f>
        <v>3771</v>
      </c>
      <c r="F31" s="59">
        <f t="shared" si="1"/>
        <v>3771</v>
      </c>
      <c r="G31" s="59"/>
      <c r="H31" s="59"/>
      <c r="I31" s="59"/>
      <c r="J31" s="59"/>
    </row>
    <row r="32" spans="1:10" ht="19.5" customHeight="1">
      <c r="A32" s="58">
        <v>751</v>
      </c>
      <c r="B32" s="58">
        <v>75108</v>
      </c>
      <c r="C32" s="58">
        <v>4410</v>
      </c>
      <c r="D32" s="59"/>
      <c r="E32" s="59">
        <v>1000</v>
      </c>
      <c r="F32" s="59">
        <f t="shared" si="1"/>
        <v>1000</v>
      </c>
      <c r="G32" s="59"/>
      <c r="H32" s="59"/>
      <c r="I32" s="59"/>
      <c r="J32" s="59"/>
    </row>
    <row r="33" spans="1:10" s="23" customFormat="1" ht="19.5" customHeight="1">
      <c r="A33" s="103" t="s">
        <v>100</v>
      </c>
      <c r="B33" s="103"/>
      <c r="C33" s="103"/>
      <c r="D33" s="60">
        <f>D21+D22+D23+D24+D25+D26+D27+D28+D29+D30+D31+D32</f>
        <v>44459</v>
      </c>
      <c r="E33" s="60">
        <f aca="true" t="shared" si="2" ref="E33:J33">E21+E22+E23+E24+E25+E26+E27+E28+E29+E30+E31+E32</f>
        <v>44459</v>
      </c>
      <c r="F33" s="60">
        <f t="shared" si="2"/>
        <v>44459</v>
      </c>
      <c r="G33" s="60">
        <f t="shared" si="2"/>
        <v>11553</v>
      </c>
      <c r="H33" s="60">
        <f t="shared" si="2"/>
        <v>2350</v>
      </c>
      <c r="I33" s="60">
        <f t="shared" si="2"/>
        <v>0</v>
      </c>
      <c r="J33" s="60">
        <f t="shared" si="2"/>
        <v>0</v>
      </c>
    </row>
    <row r="34" spans="1:10" ht="19.5" customHeight="1">
      <c r="A34" s="58">
        <v>852</v>
      </c>
      <c r="B34" s="58">
        <v>85212</v>
      </c>
      <c r="C34" s="58">
        <v>2010</v>
      </c>
      <c r="D34" s="59">
        <f>8498529-1070000+65000</f>
        <v>7493529</v>
      </c>
      <c r="E34" s="59"/>
      <c r="F34" s="59"/>
      <c r="G34" s="59"/>
      <c r="H34" s="59"/>
      <c r="I34" s="59"/>
      <c r="J34" s="59">
        <v>0</v>
      </c>
    </row>
    <row r="35" spans="1:10" ht="19.5" customHeight="1">
      <c r="A35" s="58">
        <v>852</v>
      </c>
      <c r="B35" s="58">
        <v>85212</v>
      </c>
      <c r="C35" s="58">
        <v>3110</v>
      </c>
      <c r="D35" s="59"/>
      <c r="E35" s="59">
        <f>8195930-1027046+63107</f>
        <v>7231991</v>
      </c>
      <c r="F35" s="59">
        <f>E35</f>
        <v>7231991</v>
      </c>
      <c r="G35" s="59"/>
      <c r="H35" s="59"/>
      <c r="I35" s="59"/>
      <c r="J35" s="59">
        <v>0</v>
      </c>
    </row>
    <row r="36" spans="1:10" ht="19.5" customHeight="1">
      <c r="A36" s="58">
        <v>852</v>
      </c>
      <c r="B36" s="58">
        <v>85212</v>
      </c>
      <c r="C36" s="58">
        <v>4010</v>
      </c>
      <c r="D36" s="59"/>
      <c r="E36" s="59">
        <f>155909-25995+1578</f>
        <v>131492</v>
      </c>
      <c r="F36" s="59">
        <f>E36</f>
        <v>131492</v>
      </c>
      <c r="G36" s="59">
        <f>F36</f>
        <v>131492</v>
      </c>
      <c r="H36" s="59"/>
      <c r="I36" s="59"/>
      <c r="J36" s="59">
        <v>0</v>
      </c>
    </row>
    <row r="37" spans="1:10" ht="19.5" customHeight="1">
      <c r="A37" s="58">
        <v>852</v>
      </c>
      <c r="B37" s="58">
        <v>85212</v>
      </c>
      <c r="C37" s="58">
        <v>4040</v>
      </c>
      <c r="D37" s="59"/>
      <c r="E37" s="59">
        <f>3597</f>
        <v>3597</v>
      </c>
      <c r="F37" s="59">
        <f aca="true" t="shared" si="3" ref="F37:F45">E37</f>
        <v>3597</v>
      </c>
      <c r="G37" s="59">
        <f>F37</f>
        <v>3597</v>
      </c>
      <c r="H37" s="59"/>
      <c r="I37" s="59"/>
      <c r="J37" s="59"/>
    </row>
    <row r="38" spans="1:10" ht="19.5" customHeight="1">
      <c r="A38" s="58">
        <v>852</v>
      </c>
      <c r="B38" s="58">
        <v>85212</v>
      </c>
      <c r="C38" s="58">
        <v>4110</v>
      </c>
      <c r="D38" s="59"/>
      <c r="E38" s="59">
        <f>82419-16626+276</f>
        <v>66069</v>
      </c>
      <c r="F38" s="59">
        <f>E38</f>
        <v>66069</v>
      </c>
      <c r="G38" s="59"/>
      <c r="H38" s="59">
        <f>F38</f>
        <v>66069</v>
      </c>
      <c r="I38" s="59"/>
      <c r="J38" s="59">
        <v>0</v>
      </c>
    </row>
    <row r="39" spans="1:10" ht="19.5" customHeight="1">
      <c r="A39" s="58">
        <v>852</v>
      </c>
      <c r="B39" s="58">
        <v>85212</v>
      </c>
      <c r="C39" s="58">
        <v>4120</v>
      </c>
      <c r="D39" s="59"/>
      <c r="E39" s="59">
        <f>3842-731+39</f>
        <v>3150</v>
      </c>
      <c r="F39" s="59">
        <f>E39</f>
        <v>3150</v>
      </c>
      <c r="G39" s="59"/>
      <c r="H39" s="59">
        <f>F39</f>
        <v>3150</v>
      </c>
      <c r="I39" s="59"/>
      <c r="J39" s="59">
        <v>0</v>
      </c>
    </row>
    <row r="40" spans="1:10" ht="19.5" customHeight="1">
      <c r="A40" s="58">
        <v>852</v>
      </c>
      <c r="B40" s="58">
        <v>85212</v>
      </c>
      <c r="C40" s="58">
        <v>4170</v>
      </c>
      <c r="D40" s="59"/>
      <c r="E40" s="59">
        <v>3420</v>
      </c>
      <c r="F40" s="59">
        <f t="shared" si="3"/>
        <v>3420</v>
      </c>
      <c r="G40" s="59">
        <f>F40</f>
        <v>3420</v>
      </c>
      <c r="H40" s="59"/>
      <c r="I40" s="59"/>
      <c r="J40" s="59">
        <v>0</v>
      </c>
    </row>
    <row r="41" spans="1:10" ht="19.5" customHeight="1">
      <c r="A41" s="58">
        <v>852</v>
      </c>
      <c r="B41" s="58">
        <v>85212</v>
      </c>
      <c r="C41" s="58">
        <v>4210</v>
      </c>
      <c r="D41" s="59"/>
      <c r="E41" s="59">
        <v>14512</v>
      </c>
      <c r="F41" s="59">
        <f t="shared" si="3"/>
        <v>14512</v>
      </c>
      <c r="G41" s="59"/>
      <c r="H41" s="59"/>
      <c r="I41" s="59"/>
      <c r="J41" s="59">
        <v>0</v>
      </c>
    </row>
    <row r="42" spans="1:10" ht="19.5" customHeight="1">
      <c r="A42" s="58">
        <v>852</v>
      </c>
      <c r="B42" s="58">
        <v>85212</v>
      </c>
      <c r="C42" s="58">
        <v>4300</v>
      </c>
      <c r="D42" s="59"/>
      <c r="E42" s="59">
        <v>28940</v>
      </c>
      <c r="F42" s="59">
        <f t="shared" si="3"/>
        <v>28940</v>
      </c>
      <c r="G42" s="59"/>
      <c r="H42" s="59"/>
      <c r="I42" s="59"/>
      <c r="J42" s="59">
        <v>0</v>
      </c>
    </row>
    <row r="43" spans="1:10" ht="19.5" customHeight="1">
      <c r="A43" s="58">
        <v>852</v>
      </c>
      <c r="B43" s="58">
        <v>85212</v>
      </c>
      <c r="C43" s="58">
        <v>4370</v>
      </c>
      <c r="D43" s="59"/>
      <c r="E43" s="59">
        <v>6560</v>
      </c>
      <c r="F43" s="59">
        <f t="shared" si="3"/>
        <v>6560</v>
      </c>
      <c r="G43" s="59"/>
      <c r="H43" s="59"/>
      <c r="I43" s="59"/>
      <c r="J43" s="59">
        <v>0</v>
      </c>
    </row>
    <row r="44" spans="1:10" ht="19.5" customHeight="1">
      <c r="A44" s="58">
        <v>852</v>
      </c>
      <c r="B44" s="58">
        <v>85212</v>
      </c>
      <c r="C44" s="58">
        <v>4440</v>
      </c>
      <c r="D44" s="59"/>
      <c r="E44" s="59">
        <f>2414-402</f>
        <v>2012</v>
      </c>
      <c r="F44" s="59">
        <f t="shared" si="3"/>
        <v>2012</v>
      </c>
      <c r="G44" s="59"/>
      <c r="H44" s="59"/>
      <c r="I44" s="59"/>
      <c r="J44" s="59">
        <v>0</v>
      </c>
    </row>
    <row r="45" spans="1:10" ht="19.5" customHeight="1">
      <c r="A45" s="58">
        <v>852</v>
      </c>
      <c r="B45" s="58">
        <v>85212</v>
      </c>
      <c r="C45" s="58">
        <v>4740</v>
      </c>
      <c r="D45" s="59"/>
      <c r="E45" s="59">
        <f>986+800</f>
        <v>1786</v>
      </c>
      <c r="F45" s="59">
        <f t="shared" si="3"/>
        <v>1786</v>
      </c>
      <c r="G45" s="59"/>
      <c r="H45" s="59"/>
      <c r="I45" s="59"/>
      <c r="J45" s="59">
        <v>0</v>
      </c>
    </row>
    <row r="46" spans="1:10" ht="19.5" customHeight="1">
      <c r="A46" s="58">
        <v>852</v>
      </c>
      <c r="B46" s="58">
        <v>85213</v>
      </c>
      <c r="C46" s="58">
        <v>2010</v>
      </c>
      <c r="D46" s="59">
        <f>77744-44951</f>
        <v>32793</v>
      </c>
      <c r="E46" s="59"/>
      <c r="F46" s="59"/>
      <c r="G46" s="59"/>
      <c r="H46" s="59"/>
      <c r="I46" s="59"/>
      <c r="J46" s="59">
        <v>0</v>
      </c>
    </row>
    <row r="47" spans="1:10" ht="19.5" customHeight="1">
      <c r="A47" s="58">
        <v>852</v>
      </c>
      <c r="B47" s="58">
        <v>85213</v>
      </c>
      <c r="C47" s="61">
        <v>4130</v>
      </c>
      <c r="D47" s="59"/>
      <c r="E47" s="59">
        <f>77744-44951</f>
        <v>32793</v>
      </c>
      <c r="F47" s="59">
        <f>E47</f>
        <v>32793</v>
      </c>
      <c r="G47" s="59"/>
      <c r="H47" s="59">
        <f>F47</f>
        <v>32793</v>
      </c>
      <c r="I47" s="59"/>
      <c r="J47" s="59">
        <v>0</v>
      </c>
    </row>
    <row r="48" spans="1:10" ht="19.5" customHeight="1">
      <c r="A48" s="58">
        <v>852</v>
      </c>
      <c r="B48" s="58">
        <v>85214</v>
      </c>
      <c r="C48" s="58">
        <v>2010</v>
      </c>
      <c r="D48" s="59">
        <f>301932-3475</f>
        <v>298457</v>
      </c>
      <c r="E48" s="59"/>
      <c r="F48" s="59"/>
      <c r="G48" s="59"/>
      <c r="H48" s="59"/>
      <c r="I48" s="59"/>
      <c r="J48" s="59">
        <v>0</v>
      </c>
    </row>
    <row r="49" spans="1:10" ht="19.5" customHeight="1">
      <c r="A49" s="58">
        <v>852</v>
      </c>
      <c r="B49" s="58">
        <v>85214</v>
      </c>
      <c r="C49" s="58">
        <v>3110</v>
      </c>
      <c r="D49" s="59"/>
      <c r="E49" s="59">
        <f>301932-3475</f>
        <v>298457</v>
      </c>
      <c r="F49" s="59">
        <f>E49</f>
        <v>298457</v>
      </c>
      <c r="G49" s="59"/>
      <c r="H49" s="59"/>
      <c r="I49" s="59"/>
      <c r="J49" s="59">
        <v>0</v>
      </c>
    </row>
    <row r="50" spans="1:10" ht="19.5" customHeight="1">
      <c r="A50" s="58">
        <v>852</v>
      </c>
      <c r="B50" s="58">
        <v>85228</v>
      </c>
      <c r="C50" s="58">
        <v>2010</v>
      </c>
      <c r="D50" s="59">
        <v>23086</v>
      </c>
      <c r="E50" s="59"/>
      <c r="F50" s="59"/>
      <c r="G50" s="59"/>
      <c r="H50" s="59"/>
      <c r="I50" s="59"/>
      <c r="J50" s="59">
        <v>0</v>
      </c>
    </row>
    <row r="51" spans="1:10" ht="19.5" customHeight="1">
      <c r="A51" s="58">
        <v>852</v>
      </c>
      <c r="B51" s="58">
        <v>85228</v>
      </c>
      <c r="C51" s="58">
        <v>3020</v>
      </c>
      <c r="D51" s="59"/>
      <c r="E51" s="59">
        <v>146</v>
      </c>
      <c r="F51" s="59">
        <v>146</v>
      </c>
      <c r="G51" s="59"/>
      <c r="H51" s="59"/>
      <c r="I51" s="59"/>
      <c r="J51" s="59">
        <v>0</v>
      </c>
    </row>
    <row r="52" spans="1:10" ht="19.5" customHeight="1">
      <c r="A52" s="58">
        <v>852</v>
      </c>
      <c r="B52" s="58">
        <v>85228</v>
      </c>
      <c r="C52" s="58">
        <v>4010</v>
      </c>
      <c r="D52" s="59"/>
      <c r="E52" s="59">
        <f>14832+692</f>
        <v>15524</v>
      </c>
      <c r="F52" s="59">
        <f>E52</f>
        <v>15524</v>
      </c>
      <c r="G52" s="59">
        <f>F52</f>
        <v>15524</v>
      </c>
      <c r="H52" s="59"/>
      <c r="I52" s="59"/>
      <c r="J52" s="59">
        <v>0</v>
      </c>
    </row>
    <row r="53" spans="1:10" ht="19.5" customHeight="1">
      <c r="A53" s="58">
        <v>852</v>
      </c>
      <c r="B53" s="58">
        <v>85228</v>
      </c>
      <c r="C53" s="58">
        <v>4110</v>
      </c>
      <c r="D53" s="59"/>
      <c r="E53" s="59">
        <f>3220+11</f>
        <v>3231</v>
      </c>
      <c r="F53" s="59">
        <f>E53</f>
        <v>3231</v>
      </c>
      <c r="G53" s="59"/>
      <c r="H53" s="59">
        <f>F53</f>
        <v>3231</v>
      </c>
      <c r="I53" s="59"/>
      <c r="J53" s="59">
        <v>0</v>
      </c>
    </row>
    <row r="54" spans="1:10" ht="19.5" customHeight="1">
      <c r="A54" s="58">
        <v>852</v>
      </c>
      <c r="B54" s="58">
        <v>85228</v>
      </c>
      <c r="C54" s="58">
        <v>4120</v>
      </c>
      <c r="D54" s="59"/>
      <c r="E54" s="59">
        <f>453-73</f>
        <v>380</v>
      </c>
      <c r="F54" s="59">
        <f>E54</f>
        <v>380</v>
      </c>
      <c r="G54" s="59"/>
      <c r="H54" s="59">
        <f>F54</f>
        <v>380</v>
      </c>
      <c r="I54" s="59"/>
      <c r="J54" s="59">
        <v>0</v>
      </c>
    </row>
    <row r="55" spans="1:10" ht="19.5" customHeight="1">
      <c r="A55" s="58">
        <v>852</v>
      </c>
      <c r="B55" s="58">
        <v>85228</v>
      </c>
      <c r="C55" s="58">
        <v>4170</v>
      </c>
      <c r="D55" s="59"/>
      <c r="E55" s="59">
        <f>3630-630</f>
        <v>3000</v>
      </c>
      <c r="F55" s="59">
        <f>E55</f>
        <v>3000</v>
      </c>
      <c r="G55" s="59">
        <f>F55</f>
        <v>3000</v>
      </c>
      <c r="H55" s="59"/>
      <c r="I55" s="59"/>
      <c r="J55" s="59">
        <v>0</v>
      </c>
    </row>
    <row r="56" spans="1:10" ht="19.5" customHeight="1">
      <c r="A56" s="58">
        <v>852</v>
      </c>
      <c r="B56" s="58">
        <v>85228</v>
      </c>
      <c r="C56" s="58">
        <v>4440</v>
      </c>
      <c r="D56" s="59"/>
      <c r="E56" s="59">
        <v>805</v>
      </c>
      <c r="F56" s="59">
        <v>805</v>
      </c>
      <c r="G56" s="59"/>
      <c r="H56" s="59"/>
      <c r="I56" s="59"/>
      <c r="J56" s="59">
        <v>0</v>
      </c>
    </row>
    <row r="57" spans="1:10" ht="19.5" customHeight="1">
      <c r="A57" s="58">
        <v>852</v>
      </c>
      <c r="B57" s="58">
        <v>85278</v>
      </c>
      <c r="C57" s="58">
        <v>2010</v>
      </c>
      <c r="D57" s="59">
        <f>1676+68000</f>
        <v>69676</v>
      </c>
      <c r="E57" s="59"/>
      <c r="F57" s="59"/>
      <c r="G57" s="59"/>
      <c r="H57" s="59"/>
      <c r="I57" s="59"/>
      <c r="J57" s="59"/>
    </row>
    <row r="58" spans="1:10" ht="19.5" customHeight="1">
      <c r="A58" s="58">
        <v>852</v>
      </c>
      <c r="B58" s="58">
        <v>85278</v>
      </c>
      <c r="C58" s="58">
        <v>3110</v>
      </c>
      <c r="D58" s="59"/>
      <c r="E58" s="59">
        <f>1676+68000</f>
        <v>69676</v>
      </c>
      <c r="F58" s="59">
        <f>E58</f>
        <v>69676</v>
      </c>
      <c r="G58" s="59"/>
      <c r="H58" s="59"/>
      <c r="I58" s="59"/>
      <c r="J58" s="59"/>
    </row>
    <row r="59" spans="1:10" s="23" customFormat="1" ht="19.5" customHeight="1">
      <c r="A59" s="103" t="s">
        <v>101</v>
      </c>
      <c r="B59" s="103"/>
      <c r="C59" s="103"/>
      <c r="D59" s="60">
        <f>D34+D35+D36+D38+D39+D40+D41+D42+D46+D47+D48+D49+D50+D37+D43+D44+D45+D51+D52+D53+D54+D55+D56+D57+D58</f>
        <v>7917541</v>
      </c>
      <c r="E59" s="60">
        <f aca="true" t="shared" si="4" ref="E59:J59">E34+E35+E36+E38+E39+E40+E41+E42+E46+E47+E48+E49+E50+E37+E43+E44+E45+E51+E52+E53+E54+E55+E56+E57+E58</f>
        <v>7917541</v>
      </c>
      <c r="F59" s="60">
        <f t="shared" si="4"/>
        <v>7917541</v>
      </c>
      <c r="G59" s="60">
        <f t="shared" si="4"/>
        <v>157033</v>
      </c>
      <c r="H59" s="60">
        <f t="shared" si="4"/>
        <v>105623</v>
      </c>
      <c r="I59" s="60">
        <f t="shared" si="4"/>
        <v>0</v>
      </c>
      <c r="J59" s="60">
        <f t="shared" si="4"/>
        <v>0</v>
      </c>
    </row>
    <row r="60" spans="1:10" ht="19.5" customHeight="1">
      <c r="A60" s="102" t="s">
        <v>60</v>
      </c>
      <c r="B60" s="102"/>
      <c r="C60" s="102"/>
      <c r="D60" s="62">
        <f aca="true" t="shared" si="5" ref="D60:J60">D59+D33+D20+D14</f>
        <v>8241619</v>
      </c>
      <c r="E60" s="62">
        <f t="shared" si="5"/>
        <v>8241619</v>
      </c>
      <c r="F60" s="62">
        <f t="shared" si="5"/>
        <v>8241619</v>
      </c>
      <c r="G60" s="62">
        <f t="shared" si="5"/>
        <v>266162</v>
      </c>
      <c r="H60" s="62">
        <f t="shared" si="5"/>
        <v>127137</v>
      </c>
      <c r="I60" s="62">
        <f t="shared" si="5"/>
        <v>0</v>
      </c>
      <c r="J60" s="62">
        <f t="shared" si="5"/>
        <v>0</v>
      </c>
    </row>
    <row r="62" ht="12.75">
      <c r="J62" t="s">
        <v>187</v>
      </c>
    </row>
    <row r="63" ht="12.75">
      <c r="J63" t="s">
        <v>188</v>
      </c>
    </row>
    <row r="65" ht="12.75">
      <c r="J65" t="s">
        <v>189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3">
      <selection activeCell="J29" sqref="J29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08" t="s">
        <v>181</v>
      </c>
      <c r="F1" s="108"/>
      <c r="G1" s="108"/>
      <c r="H1" s="108"/>
      <c r="I1" s="108"/>
    </row>
    <row r="2" spans="5:9" ht="12.75">
      <c r="E2" s="108"/>
      <c r="F2" s="108"/>
      <c r="G2" s="108"/>
      <c r="H2" s="108"/>
      <c r="I2" s="108"/>
    </row>
    <row r="3" spans="5:9" ht="12.75">
      <c r="E3" s="108"/>
      <c r="F3" s="108"/>
      <c r="G3" s="108"/>
      <c r="H3" s="108"/>
      <c r="I3" s="108"/>
    </row>
    <row r="5" spans="1:9" ht="16.5" customHeight="1">
      <c r="A5" s="107" t="s">
        <v>177</v>
      </c>
      <c r="B5" s="107"/>
      <c r="C5" s="107"/>
      <c r="D5" s="107"/>
      <c r="E5" s="107"/>
      <c r="F5" s="107"/>
      <c r="G5" s="107"/>
      <c r="H5" s="107"/>
      <c r="I5" s="107"/>
    </row>
    <row r="6" spans="1:9" ht="16.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6" t="s">
        <v>26</v>
      </c>
    </row>
    <row r="9" spans="1:9" ht="15" customHeight="1">
      <c r="A9" s="96" t="s">
        <v>36</v>
      </c>
      <c r="B9" s="96" t="s">
        <v>0</v>
      </c>
      <c r="C9" s="94" t="s">
        <v>2</v>
      </c>
      <c r="D9" s="94" t="s">
        <v>38</v>
      </c>
      <c r="E9" s="94" t="s">
        <v>43</v>
      </c>
      <c r="F9" s="94"/>
      <c r="G9" s="94" t="s">
        <v>7</v>
      </c>
      <c r="H9" s="94"/>
      <c r="I9" s="94" t="s">
        <v>40</v>
      </c>
    </row>
    <row r="10" spans="1:9" ht="15" customHeight="1">
      <c r="A10" s="96"/>
      <c r="B10" s="96"/>
      <c r="C10" s="94"/>
      <c r="D10" s="94"/>
      <c r="E10" s="94" t="s">
        <v>6</v>
      </c>
      <c r="F10" s="94" t="s">
        <v>59</v>
      </c>
      <c r="G10" s="94" t="s">
        <v>6</v>
      </c>
      <c r="H10" s="94" t="s">
        <v>39</v>
      </c>
      <c r="I10" s="94"/>
    </row>
    <row r="11" spans="1:9" ht="15" customHeight="1">
      <c r="A11" s="96"/>
      <c r="B11" s="96"/>
      <c r="C11" s="94"/>
      <c r="D11" s="94"/>
      <c r="E11" s="94"/>
      <c r="F11" s="94"/>
      <c r="G11" s="94"/>
      <c r="H11" s="94"/>
      <c r="I11" s="94"/>
    </row>
    <row r="12" spans="1:9" ht="15" customHeight="1">
      <c r="A12" s="96"/>
      <c r="B12" s="96"/>
      <c r="C12" s="94"/>
      <c r="D12" s="94"/>
      <c r="E12" s="94"/>
      <c r="F12" s="94"/>
      <c r="G12" s="94"/>
      <c r="H12" s="94"/>
      <c r="I12" s="94"/>
    </row>
    <row r="13" spans="1:9" ht="11.25" customHeight="1">
      <c r="A13" s="53">
        <v>1</v>
      </c>
      <c r="B13" s="53">
        <v>2</v>
      </c>
      <c r="C13" s="53">
        <v>3</v>
      </c>
      <c r="D13" s="53">
        <v>4</v>
      </c>
      <c r="E13" s="53">
        <v>5</v>
      </c>
      <c r="F13" s="53">
        <v>6</v>
      </c>
      <c r="G13" s="53">
        <v>7</v>
      </c>
      <c r="H13" s="53">
        <v>8</v>
      </c>
      <c r="I13" s="53">
        <v>9</v>
      </c>
    </row>
    <row r="14" spans="1:10" ht="21.75" customHeight="1">
      <c r="A14" s="16" t="s">
        <v>9</v>
      </c>
      <c r="B14" s="11" t="s">
        <v>10</v>
      </c>
      <c r="C14" s="11"/>
      <c r="D14" s="41">
        <f aca="true" t="shared" si="0" ref="D14:I14">D16+D17+D18</f>
        <v>23250</v>
      </c>
      <c r="E14" s="41">
        <f t="shared" si="0"/>
        <v>3854988</v>
      </c>
      <c r="F14" s="41">
        <f t="shared" si="0"/>
        <v>2389066</v>
      </c>
      <c r="G14" s="41">
        <f t="shared" si="0"/>
        <v>3815017.5</v>
      </c>
      <c r="H14" s="41">
        <f t="shared" si="0"/>
        <v>0</v>
      </c>
      <c r="I14" s="41">
        <f t="shared" si="0"/>
        <v>53367.25</v>
      </c>
      <c r="J14" s="85"/>
    </row>
    <row r="15" spans="1:10" ht="21.75" customHeight="1">
      <c r="A15" s="17"/>
      <c r="B15" s="18" t="s">
        <v>5</v>
      </c>
      <c r="C15" s="18"/>
      <c r="D15" s="39"/>
      <c r="E15" s="39"/>
      <c r="F15" s="39"/>
      <c r="G15" s="39"/>
      <c r="H15" s="39"/>
      <c r="I15" s="39"/>
      <c r="J15" s="85"/>
    </row>
    <row r="16" spans="1:10" ht="21.75" customHeight="1">
      <c r="A16" s="17"/>
      <c r="B16" s="19" t="s">
        <v>85</v>
      </c>
      <c r="C16" s="19">
        <v>801</v>
      </c>
      <c r="D16" s="39">
        <v>5050</v>
      </c>
      <c r="E16" s="39">
        <f>2260149+17800</f>
        <v>2277949</v>
      </c>
      <c r="F16" s="39">
        <f>1766227+17800</f>
        <v>1784027</v>
      </c>
      <c r="G16" s="39">
        <f>2259292+17800</f>
        <v>2277092</v>
      </c>
      <c r="H16" s="39">
        <v>0</v>
      </c>
      <c r="I16" s="39">
        <v>5907</v>
      </c>
      <c r="J16" s="85"/>
    </row>
    <row r="17" spans="1:10" ht="21.75" customHeight="1">
      <c r="A17" s="17"/>
      <c r="B17" s="19" t="s">
        <v>86</v>
      </c>
      <c r="C17" s="19">
        <v>926</v>
      </c>
      <c r="D17" s="39">
        <v>0</v>
      </c>
      <c r="E17" s="39">
        <f>842439/4</f>
        <v>210609.75</v>
      </c>
      <c r="F17" s="39">
        <f>325039-243781</f>
        <v>81258</v>
      </c>
      <c r="G17" s="39">
        <f>803026/4</f>
        <v>200756.5</v>
      </c>
      <c r="H17" s="39">
        <v>0</v>
      </c>
      <c r="I17" s="39"/>
      <c r="J17" s="85"/>
    </row>
    <row r="18" spans="1:10" ht="21.75" customHeight="1">
      <c r="A18" s="17"/>
      <c r="B18" s="19" t="s">
        <v>87</v>
      </c>
      <c r="C18" s="19">
        <v>926</v>
      </c>
      <c r="D18" s="39">
        <v>18200</v>
      </c>
      <c r="E18" s="39">
        <f>737600+20000-25000+(842439/4)*3+2000</f>
        <v>1366429.25</v>
      </c>
      <c r="F18" s="39">
        <f>285000+20000-25000+243781</f>
        <v>523781</v>
      </c>
      <c r="G18" s="39">
        <f>1335169+2000</f>
        <v>1337169</v>
      </c>
      <c r="H18" s="39">
        <v>0</v>
      </c>
      <c r="I18" s="39">
        <f>D18+E18-G18</f>
        <v>47460.25</v>
      </c>
      <c r="J18" s="85"/>
    </row>
    <row r="19" spans="1:10" ht="21.75" customHeight="1">
      <c r="A19" s="16" t="s">
        <v>15</v>
      </c>
      <c r="B19" s="11" t="s">
        <v>14</v>
      </c>
      <c r="C19" s="11"/>
      <c r="D19" s="11"/>
      <c r="E19" s="11"/>
      <c r="F19" s="11"/>
      <c r="G19" s="11"/>
      <c r="H19" s="11"/>
      <c r="I19" s="11"/>
      <c r="J19" s="85"/>
    </row>
    <row r="20" spans="1:10" ht="21.75" customHeight="1">
      <c r="A20" s="17"/>
      <c r="B20" s="18" t="s">
        <v>5</v>
      </c>
      <c r="C20" s="18"/>
      <c r="D20" s="12"/>
      <c r="E20" s="12"/>
      <c r="F20" s="12"/>
      <c r="G20" s="12"/>
      <c r="H20" s="12"/>
      <c r="I20" s="12"/>
      <c r="J20" s="85"/>
    </row>
    <row r="21" spans="1:10" ht="21.75" customHeight="1">
      <c r="A21" s="17"/>
      <c r="B21" s="19" t="s">
        <v>11</v>
      </c>
      <c r="C21" s="19"/>
      <c r="D21" s="12"/>
      <c r="E21" s="12"/>
      <c r="F21" s="12"/>
      <c r="G21" s="12"/>
      <c r="H21" s="12"/>
      <c r="I21" s="12"/>
      <c r="J21" s="85"/>
    </row>
    <row r="22" spans="1:10" ht="21.75" customHeight="1">
      <c r="A22" s="16" t="s">
        <v>16</v>
      </c>
      <c r="B22" s="11" t="s">
        <v>45</v>
      </c>
      <c r="C22" s="11"/>
      <c r="D22" s="41">
        <f>D24+D25+D26+D27</f>
        <v>33415</v>
      </c>
      <c r="E22" s="41">
        <f>E24+E25+E26+E27</f>
        <v>524606</v>
      </c>
      <c r="F22" s="41" t="s">
        <v>29</v>
      </c>
      <c r="G22" s="41">
        <f>G24+G25+G26+G27</f>
        <v>524606</v>
      </c>
      <c r="H22" s="41">
        <f>H24+H25+H26+H27</f>
        <v>0</v>
      </c>
      <c r="I22" s="41">
        <f>I24+I25+I26+I27</f>
        <v>33415</v>
      </c>
      <c r="J22" s="85"/>
    </row>
    <row r="23" spans="1:10" ht="21.75" customHeight="1">
      <c r="A23" s="12"/>
      <c r="B23" s="18" t="s">
        <v>5</v>
      </c>
      <c r="C23" s="18"/>
      <c r="D23" s="39"/>
      <c r="E23" s="39"/>
      <c r="F23" s="39"/>
      <c r="G23" s="39"/>
      <c r="H23" s="39"/>
      <c r="I23" s="39"/>
      <c r="J23" s="85"/>
    </row>
    <row r="24" spans="1:10" ht="21.75" customHeight="1">
      <c r="A24" s="12"/>
      <c r="B24" s="19" t="s">
        <v>88</v>
      </c>
      <c r="C24" s="19">
        <v>801</v>
      </c>
      <c r="D24" s="39">
        <v>25011</v>
      </c>
      <c r="E24" s="39">
        <v>91858</v>
      </c>
      <c r="F24" s="39" t="s">
        <v>29</v>
      </c>
      <c r="G24" s="39">
        <v>91858</v>
      </c>
      <c r="H24" s="39">
        <v>0</v>
      </c>
      <c r="I24" s="39">
        <f>D24+E24-G24</f>
        <v>25011</v>
      </c>
      <c r="J24" s="85"/>
    </row>
    <row r="25" spans="1:10" ht="21.75" customHeight="1">
      <c r="A25" s="12"/>
      <c r="B25" s="19" t="s">
        <v>89</v>
      </c>
      <c r="C25" s="19">
        <v>801</v>
      </c>
      <c r="D25" s="39">
        <v>1165</v>
      </c>
      <c r="E25" s="39">
        <v>5000</v>
      </c>
      <c r="F25" s="39" t="s">
        <v>29</v>
      </c>
      <c r="G25" s="39">
        <v>5000</v>
      </c>
      <c r="H25" s="39">
        <v>0</v>
      </c>
      <c r="I25" s="39">
        <f>D25+E25-G25</f>
        <v>1165</v>
      </c>
      <c r="J25" s="85"/>
    </row>
    <row r="26" spans="1:10" ht="21.75" customHeight="1">
      <c r="A26" s="12"/>
      <c r="B26" s="19" t="s">
        <v>90</v>
      </c>
      <c r="C26" s="19">
        <v>801</v>
      </c>
      <c r="D26" s="39">
        <v>7178</v>
      </c>
      <c r="E26" s="39">
        <v>18000</v>
      </c>
      <c r="F26" s="39" t="s">
        <v>29</v>
      </c>
      <c r="G26" s="39">
        <v>18000</v>
      </c>
      <c r="H26" s="39">
        <v>0</v>
      </c>
      <c r="I26" s="39">
        <f>D26+E26-G26</f>
        <v>7178</v>
      </c>
      <c r="J26" s="85"/>
    </row>
    <row r="27" spans="1:10" ht="21.75" customHeight="1">
      <c r="A27" s="13"/>
      <c r="B27" s="20" t="s">
        <v>91</v>
      </c>
      <c r="C27" s="20">
        <v>854</v>
      </c>
      <c r="D27" s="40">
        <v>61</v>
      </c>
      <c r="E27" s="40">
        <v>409748</v>
      </c>
      <c r="F27" s="40" t="s">
        <v>29</v>
      </c>
      <c r="G27" s="40">
        <v>409748</v>
      </c>
      <c r="H27" s="40">
        <v>0</v>
      </c>
      <c r="I27" s="39">
        <f>D27+E27-G27</f>
        <v>61</v>
      </c>
      <c r="J27" s="85"/>
    </row>
    <row r="28" spans="1:10" s="23" customFormat="1" ht="21.75" customHeight="1">
      <c r="A28" s="109" t="s">
        <v>60</v>
      </c>
      <c r="B28" s="109"/>
      <c r="C28" s="24"/>
      <c r="D28" s="42">
        <f aca="true" t="shared" si="1" ref="D28:I28">D22+D14</f>
        <v>56665</v>
      </c>
      <c r="E28" s="42">
        <f>E22+E14</f>
        <v>4379594</v>
      </c>
      <c r="F28" s="42">
        <f>F14</f>
        <v>2389066</v>
      </c>
      <c r="G28" s="42">
        <f t="shared" si="1"/>
        <v>4339623.5</v>
      </c>
      <c r="H28" s="42">
        <f t="shared" si="1"/>
        <v>0</v>
      </c>
      <c r="I28" s="42">
        <f t="shared" si="1"/>
        <v>86782.25</v>
      </c>
      <c r="J28" s="85"/>
    </row>
    <row r="29" ht="4.5" customHeight="1"/>
    <row r="30" ht="14.25">
      <c r="A30" t="s">
        <v>44</v>
      </c>
    </row>
    <row r="31" ht="12.75">
      <c r="E31" s="85"/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3">
      <selection activeCell="F64" sqref="F6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10" t="s">
        <v>182</v>
      </c>
      <c r="E1" s="110"/>
      <c r="F1" s="110"/>
    </row>
    <row r="2" spans="4:6" ht="45.75" customHeight="1">
      <c r="D2" s="110"/>
      <c r="E2" s="110"/>
      <c r="F2" s="110"/>
    </row>
    <row r="5" spans="1:5" ht="19.5" customHeight="1">
      <c r="A5" s="92" t="s">
        <v>35</v>
      </c>
      <c r="B5" s="92"/>
      <c r="C5" s="92"/>
      <c r="D5" s="92"/>
      <c r="E5" s="92"/>
    </row>
    <row r="6" spans="4:5" ht="19.5" customHeight="1">
      <c r="D6" s="3"/>
      <c r="E6" s="3"/>
    </row>
    <row r="7" ht="19.5" customHeight="1">
      <c r="E7" s="7" t="s">
        <v>26</v>
      </c>
    </row>
    <row r="8" spans="1:5" ht="19.5" customHeight="1">
      <c r="A8" s="9" t="s">
        <v>36</v>
      </c>
      <c r="B8" s="9" t="s">
        <v>2</v>
      </c>
      <c r="C8" s="9" t="s">
        <v>3</v>
      </c>
      <c r="D8" s="9" t="s">
        <v>28</v>
      </c>
      <c r="E8" s="9" t="s">
        <v>27</v>
      </c>
    </row>
    <row r="9" spans="1:5" ht="13.5" customHeight="1">
      <c r="A9" s="53">
        <v>1</v>
      </c>
      <c r="B9" s="53">
        <v>2</v>
      </c>
      <c r="C9" s="53">
        <v>3</v>
      </c>
      <c r="D9" s="53">
        <v>4</v>
      </c>
      <c r="E9" s="53">
        <v>5</v>
      </c>
    </row>
    <row r="10" spans="1:5" ht="45.75" customHeight="1">
      <c r="A10" s="15" t="s">
        <v>11</v>
      </c>
      <c r="B10" s="15">
        <v>801</v>
      </c>
      <c r="C10" s="15">
        <v>80110</v>
      </c>
      <c r="D10" s="44" t="s">
        <v>103</v>
      </c>
      <c r="E10" s="46">
        <v>230581</v>
      </c>
    </row>
    <row r="11" spans="1:5" ht="45.75" customHeight="1">
      <c r="A11" s="15" t="s">
        <v>12</v>
      </c>
      <c r="B11" s="15">
        <v>851</v>
      </c>
      <c r="C11" s="15">
        <v>85121</v>
      </c>
      <c r="D11" s="44" t="s">
        <v>183</v>
      </c>
      <c r="E11" s="46">
        <v>20000</v>
      </c>
    </row>
    <row r="12" spans="1:7" ht="30" customHeight="1">
      <c r="A12" s="15" t="s">
        <v>12</v>
      </c>
      <c r="B12" s="15">
        <v>921</v>
      </c>
      <c r="C12" s="15">
        <v>92109</v>
      </c>
      <c r="D12" s="44" t="s">
        <v>104</v>
      </c>
      <c r="E12" s="46">
        <f>580000+3500+32000+15000+13500+9000</f>
        <v>653000</v>
      </c>
      <c r="G12" s="45"/>
    </row>
    <row r="13" spans="1:5" ht="30" customHeight="1">
      <c r="A13" s="15" t="s">
        <v>13</v>
      </c>
      <c r="B13" s="15">
        <v>921</v>
      </c>
      <c r="C13" s="15">
        <v>92116</v>
      </c>
      <c r="D13" s="44" t="s">
        <v>104</v>
      </c>
      <c r="E13" s="46">
        <f>535000+7000</f>
        <v>542000</v>
      </c>
    </row>
    <row r="14" spans="1:5" ht="30" customHeight="1">
      <c r="A14" s="15" t="s">
        <v>1</v>
      </c>
      <c r="B14" s="15">
        <v>921</v>
      </c>
      <c r="C14" s="15">
        <v>92118</v>
      </c>
      <c r="D14" s="44" t="s">
        <v>102</v>
      </c>
      <c r="E14" s="46">
        <v>198000</v>
      </c>
    </row>
    <row r="15" spans="1:5" ht="30" customHeight="1">
      <c r="A15" s="111" t="s">
        <v>60</v>
      </c>
      <c r="B15" s="111"/>
      <c r="C15" s="111"/>
      <c r="D15" s="111"/>
      <c r="E15" s="47">
        <f>SUM(E10:E14)</f>
        <v>1643581</v>
      </c>
    </row>
  </sheetData>
  <mergeCells count="3">
    <mergeCell ref="A5:E5"/>
    <mergeCell ref="D1:F2"/>
    <mergeCell ref="A15:D15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0">
      <selection activeCell="A4" sqref="A4:C5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 customHeight="1">
      <c r="B1" s="112" t="s">
        <v>184</v>
      </c>
      <c r="C1" s="112"/>
    </row>
    <row r="2" spans="2:3" ht="12.75">
      <c r="B2" s="112"/>
      <c r="C2" s="112"/>
    </row>
    <row r="3" spans="2:3" ht="12.75">
      <c r="B3" s="112"/>
      <c r="C3" s="112"/>
    </row>
    <row r="4" spans="1:10" ht="19.5" customHeight="1">
      <c r="A4" s="92" t="s">
        <v>178</v>
      </c>
      <c r="B4" s="92"/>
      <c r="C4" s="92"/>
      <c r="D4" s="3"/>
      <c r="E4" s="3"/>
      <c r="F4" s="3"/>
      <c r="G4" s="3"/>
      <c r="H4" s="3"/>
      <c r="I4" s="3"/>
      <c r="J4" s="3"/>
    </row>
    <row r="5" spans="1:7" ht="19.5" customHeight="1">
      <c r="A5" s="92"/>
      <c r="B5" s="92"/>
      <c r="C5" s="92"/>
      <c r="D5" s="3"/>
      <c r="E5" s="3"/>
      <c r="F5" s="3"/>
      <c r="G5" s="3"/>
    </row>
    <row r="7" ht="12.75">
      <c r="C7" s="6" t="s">
        <v>26</v>
      </c>
    </row>
    <row r="8" spans="1:10" ht="19.5" customHeight="1">
      <c r="A8" s="9" t="s">
        <v>36</v>
      </c>
      <c r="B8" s="9" t="s">
        <v>0</v>
      </c>
      <c r="C8" s="9" t="s">
        <v>32</v>
      </c>
      <c r="D8" s="4"/>
      <c r="E8" s="4"/>
      <c r="F8" s="4"/>
      <c r="G8" s="4"/>
      <c r="H8" s="4"/>
      <c r="I8" s="5"/>
      <c r="J8" s="5"/>
    </row>
    <row r="9" spans="1:10" ht="19.5" customHeight="1">
      <c r="A9" s="14" t="s">
        <v>9</v>
      </c>
      <c r="B9" s="21" t="s">
        <v>38</v>
      </c>
      <c r="C9" s="43">
        <v>140574</v>
      </c>
      <c r="D9" s="4"/>
      <c r="E9" s="4"/>
      <c r="F9" s="4"/>
      <c r="G9" s="4"/>
      <c r="H9" s="4"/>
      <c r="I9" s="5"/>
      <c r="J9" s="5"/>
    </row>
    <row r="10" spans="1:10" ht="19.5" customHeight="1">
      <c r="A10" s="14" t="s">
        <v>15</v>
      </c>
      <c r="B10" s="21" t="s">
        <v>8</v>
      </c>
      <c r="C10" s="43">
        <f>C11+C12+C13+C14+C15</f>
        <v>229977.11</v>
      </c>
      <c r="D10" s="4"/>
      <c r="E10" s="4"/>
      <c r="F10" s="4"/>
      <c r="G10" s="4"/>
      <c r="H10" s="4"/>
      <c r="I10" s="5"/>
      <c r="J10" s="5"/>
    </row>
    <row r="11" spans="1:10" ht="27.75" customHeight="1">
      <c r="A11" s="48" t="s">
        <v>11</v>
      </c>
      <c r="B11" s="49" t="s">
        <v>95</v>
      </c>
      <c r="C11" s="50">
        <v>10000</v>
      </c>
      <c r="D11" s="4"/>
      <c r="E11" s="4"/>
      <c r="F11" s="4"/>
      <c r="G11" s="4"/>
      <c r="H11" s="4"/>
      <c r="I11" s="5"/>
      <c r="J11" s="5"/>
    </row>
    <row r="12" spans="1:10" ht="27.75" customHeight="1">
      <c r="A12" s="48" t="s">
        <v>12</v>
      </c>
      <c r="B12" s="51" t="s">
        <v>94</v>
      </c>
      <c r="C12" s="50">
        <v>1000</v>
      </c>
      <c r="D12" s="4"/>
      <c r="E12" s="4"/>
      <c r="F12" s="4"/>
      <c r="G12" s="4"/>
      <c r="H12" s="4"/>
      <c r="I12" s="5"/>
      <c r="J12" s="5"/>
    </row>
    <row r="13" spans="1:10" ht="29.25" customHeight="1">
      <c r="A13" s="48" t="s">
        <v>13</v>
      </c>
      <c r="B13" s="49" t="s">
        <v>96</v>
      </c>
      <c r="C13" s="50">
        <v>4000</v>
      </c>
      <c r="D13" s="4"/>
      <c r="E13" s="4"/>
      <c r="F13" s="4"/>
      <c r="G13" s="4"/>
      <c r="H13" s="4"/>
      <c r="I13" s="5"/>
      <c r="J13" s="5"/>
    </row>
    <row r="14" spans="1:10" ht="19.5" customHeight="1">
      <c r="A14" s="48" t="s">
        <v>1</v>
      </c>
      <c r="B14" s="51" t="s">
        <v>92</v>
      </c>
      <c r="C14" s="50">
        <f>157000+54977.11</f>
        <v>211977.11</v>
      </c>
      <c r="D14" s="4"/>
      <c r="E14" s="4"/>
      <c r="F14" s="4"/>
      <c r="G14" s="4"/>
      <c r="H14" s="4"/>
      <c r="I14" s="5"/>
      <c r="J14" s="5"/>
    </row>
    <row r="15" spans="1:10" ht="19.5" customHeight="1">
      <c r="A15" s="48" t="s">
        <v>18</v>
      </c>
      <c r="B15" s="51" t="s">
        <v>93</v>
      </c>
      <c r="C15" s="50">
        <v>3000</v>
      </c>
      <c r="D15" s="4"/>
      <c r="E15" s="4"/>
      <c r="F15" s="4"/>
      <c r="G15" s="4"/>
      <c r="H15" s="4"/>
      <c r="I15" s="5"/>
      <c r="J15" s="5"/>
    </row>
    <row r="16" spans="1:10" ht="19.5" customHeight="1">
      <c r="A16" s="14" t="s">
        <v>16</v>
      </c>
      <c r="B16" s="21" t="s">
        <v>7</v>
      </c>
      <c r="C16" s="43">
        <f>C17+C21</f>
        <v>354551.11</v>
      </c>
      <c r="D16" s="4"/>
      <c r="E16" s="4"/>
      <c r="F16" s="4"/>
      <c r="G16" s="4"/>
      <c r="H16" s="4"/>
      <c r="I16" s="5"/>
      <c r="J16" s="5"/>
    </row>
    <row r="17" spans="1:10" ht="19.5" customHeight="1">
      <c r="A17" s="24" t="s">
        <v>11</v>
      </c>
      <c r="B17" s="52" t="s">
        <v>22</v>
      </c>
      <c r="C17" s="42">
        <f>C18+C19+C20</f>
        <v>124600</v>
      </c>
      <c r="D17" s="4"/>
      <c r="E17" s="4"/>
      <c r="F17" s="4"/>
      <c r="G17" s="4"/>
      <c r="H17" s="4"/>
      <c r="I17" s="5"/>
      <c r="J17" s="5"/>
    </row>
    <row r="18" spans="1:10" ht="15" customHeight="1">
      <c r="A18" s="15"/>
      <c r="B18" s="51" t="s">
        <v>180</v>
      </c>
      <c r="C18" s="46">
        <v>4000</v>
      </c>
      <c r="D18" s="4"/>
      <c r="E18" s="4"/>
      <c r="F18" s="4"/>
      <c r="G18" s="4"/>
      <c r="H18" s="4"/>
      <c r="I18" s="5"/>
      <c r="J18" s="5"/>
    </row>
    <row r="19" spans="1:10" ht="15" customHeight="1">
      <c r="A19" s="15"/>
      <c r="B19" s="51" t="s">
        <v>97</v>
      </c>
      <c r="C19" s="46">
        <f>51000+10600</f>
        <v>61600</v>
      </c>
      <c r="D19" s="4"/>
      <c r="E19" s="4"/>
      <c r="F19" s="4"/>
      <c r="G19" s="4"/>
      <c r="H19" s="4"/>
      <c r="I19" s="5"/>
      <c r="J19" s="5"/>
    </row>
    <row r="20" spans="1:10" ht="15" customHeight="1">
      <c r="A20" s="15"/>
      <c r="B20" s="51" t="s">
        <v>98</v>
      </c>
      <c r="C20" s="46">
        <v>59000</v>
      </c>
      <c r="D20" s="4"/>
      <c r="E20" s="4"/>
      <c r="F20" s="4"/>
      <c r="G20" s="4"/>
      <c r="H20" s="4"/>
      <c r="I20" s="5"/>
      <c r="J20" s="5"/>
    </row>
    <row r="21" spans="1:10" ht="19.5" customHeight="1">
      <c r="A21" s="24" t="s">
        <v>12</v>
      </c>
      <c r="B21" s="52" t="s">
        <v>24</v>
      </c>
      <c r="C21" s="42">
        <f>C22</f>
        <v>229951.11</v>
      </c>
      <c r="D21" s="4"/>
      <c r="E21" s="4"/>
      <c r="F21" s="4"/>
      <c r="G21" s="4"/>
      <c r="H21" s="4"/>
      <c r="I21" s="5"/>
      <c r="J21" s="5"/>
    </row>
    <row r="22" spans="1:10" ht="15">
      <c r="A22" s="15"/>
      <c r="B22" s="49" t="s">
        <v>99</v>
      </c>
      <c r="C22" s="46">
        <f>185574+54977.11-10600</f>
        <v>229951.11</v>
      </c>
      <c r="D22" s="4"/>
      <c r="E22" s="4"/>
      <c r="F22" s="4"/>
      <c r="G22" s="4"/>
      <c r="H22" s="4"/>
      <c r="I22" s="5"/>
      <c r="J22" s="5"/>
    </row>
    <row r="23" spans="1:10" ht="19.5" customHeight="1">
      <c r="A23" s="14" t="s">
        <v>23</v>
      </c>
      <c r="B23" s="21" t="s">
        <v>40</v>
      </c>
      <c r="C23" s="43">
        <f>C9+C10-C16</f>
        <v>16000</v>
      </c>
      <c r="D23" s="4"/>
      <c r="E23" s="4"/>
      <c r="F23" s="4"/>
      <c r="G23" s="4"/>
      <c r="H23" s="4"/>
      <c r="I23" s="5"/>
      <c r="J23" s="5"/>
    </row>
    <row r="24" spans="1:10" ht="1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0" ht="15">
      <c r="A25" s="4"/>
      <c r="B25" s="4"/>
      <c r="C25" s="4"/>
      <c r="D25" s="4"/>
      <c r="E25" s="4"/>
      <c r="F25" s="4"/>
      <c r="G25" s="4"/>
      <c r="H25" s="4"/>
      <c r="I25" s="5"/>
      <c r="J25" s="5"/>
    </row>
    <row r="26" spans="1:10" ht="1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0" ht="15">
      <c r="A27" s="4"/>
      <c r="B27" s="4"/>
      <c r="C27" s="4"/>
      <c r="D27" s="4"/>
      <c r="E27" s="4"/>
      <c r="F27" s="4"/>
      <c r="G27" s="4"/>
      <c r="H27" s="4"/>
      <c r="I27" s="5"/>
      <c r="J27" s="5"/>
    </row>
    <row r="28" spans="1:10" ht="15">
      <c r="A28" s="4"/>
      <c r="B28" s="4"/>
      <c r="C28" s="4"/>
      <c r="D28" s="4"/>
      <c r="E28" s="4"/>
      <c r="F28" s="4"/>
      <c r="G28" s="4"/>
      <c r="H28" s="4"/>
      <c r="I28" s="5"/>
      <c r="J28" s="5"/>
    </row>
    <row r="29" spans="1:10" ht="15">
      <c r="A29" s="4"/>
      <c r="B29" s="4"/>
      <c r="C29" s="4"/>
      <c r="D29" s="4"/>
      <c r="E29" s="4"/>
      <c r="F29" s="4"/>
      <c r="G29" s="4"/>
      <c r="H29" s="4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</sheetData>
  <mergeCells count="2">
    <mergeCell ref="A4:C5"/>
    <mergeCell ref="B1:C3"/>
  </mergeCells>
  <printOptions horizontalCentered="1"/>
  <pageMargins left="0.5905511811023623" right="0.5905511811023623" top="0.96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2007-12-06T10:58:46Z</cp:lastPrinted>
  <dcterms:created xsi:type="dcterms:W3CDTF">1998-12-09T13:02:10Z</dcterms:created>
  <dcterms:modified xsi:type="dcterms:W3CDTF">2007-12-06T13:57:05Z</dcterms:modified>
  <cp:category/>
  <cp:version/>
  <cp:contentType/>
  <cp:contentStatus/>
</cp:coreProperties>
</file>